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xular.arostegui\Documents\ICaRE4Farms\"/>
    </mc:Choice>
  </mc:AlternateContent>
  <bookViews>
    <workbookView xWindow="0" yWindow="0" windowWidth="23040" windowHeight="9408" tabRatio="991" activeTab="3"/>
  </bookViews>
  <sheets>
    <sheet name="Données" sheetId="4" r:id="rId1"/>
    <sheet name="Résultats-Tech" sheetId="5" r:id="rId2"/>
    <sheet name="Resultats-ROIC" sheetId="7" r:id="rId3"/>
    <sheet name="Résultats-auto-Financement" sheetId="6" r:id="rId4"/>
    <sheet name="Résumé_BE" sheetId="3" r:id="rId5"/>
    <sheet name="Calcul-Tech" sheetId="1" state="hidden" r:id="rId6"/>
    <sheet name="calcul-ROIC" sheetId="8" r:id="rId7"/>
    <sheet name="Calcul -financement" sheetId="9" r:id="rId8"/>
  </sheets>
  <externalReferences>
    <externalReference r:id="rId9"/>
  </externalReferences>
  <definedNames>
    <definedName name="_xlnm.Print_Area" localSheetId="6">'calcul-ROIC'!$A$1:$G$29</definedName>
    <definedName name="_xlnm.Print_Area" localSheetId="3">'Résultats-auto-Financement'!$A$1:$Y$39</definedName>
    <definedName name="_xlnm.Print_Area" localSheetId="2">'Resultats-ROIC'!$A$1:$Q$30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6" l="1"/>
  <c r="D21" i="9" l="1"/>
  <c r="D18" i="9"/>
  <c r="Y9" i="9"/>
  <c r="Y8" i="9"/>
  <c r="P27" i="6" s="1"/>
  <c r="G15" i="8"/>
  <c r="N16" i="7" s="1"/>
  <c r="E12" i="8"/>
  <c r="P13" i="7" s="1"/>
  <c r="E10" i="8"/>
  <c r="C7" i="9"/>
  <c r="J11" i="9"/>
  <c r="K11" i="9" s="1"/>
  <c r="I3" i="8"/>
  <c r="K3" i="8" s="1"/>
  <c r="E13" i="8"/>
  <c r="F2" i="7" s="1"/>
  <c r="F13" i="8"/>
  <c r="G2" i="7" s="1"/>
  <c r="G13" i="8"/>
  <c r="H2" i="7" s="1"/>
  <c r="O7" i="7"/>
  <c r="L7" i="7"/>
  <c r="E2" i="7"/>
  <c r="M16" i="7"/>
  <c r="O16" i="7"/>
  <c r="J3" i="4"/>
  <c r="J5" i="4" s="1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C7" i="6"/>
  <c r="C9" i="6"/>
  <c r="C10" i="6"/>
  <c r="C11" i="6"/>
  <c r="E11" i="6"/>
  <c r="F11" i="6"/>
  <c r="G11" i="6"/>
  <c r="H11" i="6"/>
  <c r="I11" i="6"/>
  <c r="J11" i="6"/>
  <c r="K11" i="6"/>
  <c r="C13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C15" i="6"/>
  <c r="C16" i="6"/>
  <c r="V21" i="6"/>
  <c r="T22" i="6"/>
  <c r="P28" i="6"/>
  <c r="T9" i="9" l="1"/>
  <c r="U9" i="6" s="1"/>
  <c r="N14" i="7"/>
  <c r="W9" i="9"/>
  <c r="X9" i="6" s="1"/>
  <c r="S9" i="9"/>
  <c r="T9" i="6" s="1"/>
  <c r="V9" i="9"/>
  <c r="W9" i="6" s="1"/>
  <c r="U9" i="9"/>
  <c r="V9" i="6" s="1"/>
  <c r="L11" i="9"/>
  <c r="L11" i="6"/>
  <c r="M3" i="8"/>
  <c r="Y6" i="9" l="1"/>
  <c r="P25" i="6" s="1"/>
  <c r="P24" i="6"/>
  <c r="C27" i="4"/>
  <c r="E9" i="8"/>
  <c r="N13" i="7" s="1"/>
  <c r="Y5" i="9"/>
  <c r="M11" i="9"/>
  <c r="M11" i="6"/>
  <c r="Y7" i="9" l="1"/>
  <c r="D9" i="9" s="1"/>
  <c r="G9" i="9" s="1"/>
  <c r="H9" i="6" s="1"/>
  <c r="N12" i="7"/>
  <c r="R3" i="8"/>
  <c r="P3" i="8"/>
  <c r="Q3" i="8"/>
  <c r="E8" i="8"/>
  <c r="V3" i="8" s="1"/>
  <c r="N11" i="6"/>
  <c r="N11" i="9"/>
  <c r="E9" i="6" l="1"/>
  <c r="J9" i="9"/>
  <c r="K9" i="6" s="1"/>
  <c r="P26" i="6"/>
  <c r="H9" i="9"/>
  <c r="I9" i="6" s="1"/>
  <c r="F9" i="9"/>
  <c r="G9" i="6" s="1"/>
  <c r="N9" i="9"/>
  <c r="O9" i="6" s="1"/>
  <c r="R9" i="9"/>
  <c r="S9" i="6" s="1"/>
  <c r="E9" i="9"/>
  <c r="F9" i="6" s="1"/>
  <c r="L9" i="9"/>
  <c r="M9" i="6" s="1"/>
  <c r="O9" i="9"/>
  <c r="P9" i="6" s="1"/>
  <c r="Q9" i="9"/>
  <c r="R9" i="6" s="1"/>
  <c r="K9" i="9"/>
  <c r="L9" i="6" s="1"/>
  <c r="I9" i="9"/>
  <c r="J9" i="6" s="1"/>
  <c r="M9" i="9"/>
  <c r="N9" i="6" s="1"/>
  <c r="P9" i="9"/>
  <c r="Q9" i="6" s="1"/>
  <c r="T3" i="8"/>
  <c r="U3" i="8"/>
  <c r="O11" i="9"/>
  <c r="O11" i="6"/>
  <c r="P11" i="9" l="1"/>
  <c r="P11" i="6"/>
  <c r="Q11" i="9" l="1"/>
  <c r="Q11" i="6"/>
  <c r="R11" i="6" l="1"/>
  <c r="R11" i="9"/>
  <c r="S11" i="9" l="1"/>
  <c r="S11" i="6"/>
  <c r="T11" i="9" l="1"/>
  <c r="T11" i="6"/>
  <c r="U11" i="9" l="1"/>
  <c r="U11" i="6"/>
  <c r="V11" i="6" l="1"/>
  <c r="V11" i="9"/>
  <c r="W11" i="9" l="1"/>
  <c r="X11" i="6" s="1"/>
  <c r="W11" i="6"/>
  <c r="D4" i="1" l="1"/>
  <c r="D38" i="1" l="1"/>
  <c r="G3" i="3" l="1"/>
  <c r="O14" i="4" l="1"/>
  <c r="G6" i="5" l="1"/>
  <c r="E6" i="5"/>
  <c r="G5" i="5"/>
  <c r="E5" i="5"/>
  <c r="E3" i="5"/>
  <c r="E2" i="5"/>
  <c r="D2" i="1" l="1"/>
  <c r="G4" i="3"/>
  <c r="D37" i="1"/>
  <c r="E20" i="1"/>
  <c r="F20" i="1"/>
  <c r="G20" i="1"/>
  <c r="H20" i="1"/>
  <c r="I20" i="1"/>
  <c r="J20" i="1"/>
  <c r="K20" i="1"/>
  <c r="L20" i="1"/>
  <c r="M20" i="1"/>
  <c r="N20" i="1"/>
  <c r="O20" i="1"/>
  <c r="D20" i="1"/>
  <c r="E18" i="1"/>
  <c r="E26" i="1" s="1"/>
  <c r="E27" i="1" s="1"/>
  <c r="F18" i="1"/>
  <c r="F26" i="1" s="1"/>
  <c r="F27" i="1" s="1"/>
  <c r="G18" i="1"/>
  <c r="G26" i="1" s="1"/>
  <c r="G27" i="1" s="1"/>
  <c r="H18" i="1"/>
  <c r="H26" i="1" s="1"/>
  <c r="H27" i="1" s="1"/>
  <c r="I18" i="1"/>
  <c r="I26" i="1" s="1"/>
  <c r="I27" i="1" s="1"/>
  <c r="J18" i="1"/>
  <c r="J26" i="1" s="1"/>
  <c r="J27" i="1" s="1"/>
  <c r="K18" i="1"/>
  <c r="K26" i="1" s="1"/>
  <c r="K27" i="1" s="1"/>
  <c r="L18" i="1"/>
  <c r="L26" i="1" s="1"/>
  <c r="L27" i="1" s="1"/>
  <c r="M18" i="1"/>
  <c r="M26" i="1" s="1"/>
  <c r="M27" i="1" s="1"/>
  <c r="N18" i="1"/>
  <c r="N26" i="1" s="1"/>
  <c r="N27" i="1" s="1"/>
  <c r="O18" i="1"/>
  <c r="O26" i="1" s="1"/>
  <c r="O27" i="1" s="1"/>
  <c r="D18" i="1"/>
  <c r="D26" i="1" s="1"/>
  <c r="E9" i="1"/>
  <c r="F9" i="1"/>
  <c r="G9" i="1"/>
  <c r="H9" i="1"/>
  <c r="I9" i="1"/>
  <c r="J9" i="1"/>
  <c r="K9" i="1"/>
  <c r="L9" i="1"/>
  <c r="M9" i="1"/>
  <c r="N9" i="1"/>
  <c r="O9" i="1"/>
  <c r="E10" i="1"/>
  <c r="F10" i="1"/>
  <c r="G10" i="1"/>
  <c r="H10" i="1"/>
  <c r="I10" i="1"/>
  <c r="J10" i="1"/>
  <c r="K10" i="1"/>
  <c r="L10" i="1"/>
  <c r="M10" i="1"/>
  <c r="N10" i="1"/>
  <c r="O10" i="1"/>
  <c r="E11" i="1"/>
  <c r="F11" i="1"/>
  <c r="G11" i="1"/>
  <c r="H11" i="1"/>
  <c r="I11" i="1"/>
  <c r="J11" i="1"/>
  <c r="K11" i="1"/>
  <c r="L11" i="1"/>
  <c r="M11" i="1"/>
  <c r="N11" i="1"/>
  <c r="O11" i="1"/>
  <c r="D11" i="1"/>
  <c r="D10" i="1"/>
  <c r="D9" i="1"/>
  <c r="E2" i="1"/>
  <c r="F2" i="1"/>
  <c r="G2" i="1"/>
  <c r="H2" i="1"/>
  <c r="I2" i="1"/>
  <c r="K2" i="1"/>
  <c r="N2" i="1"/>
  <c r="O12" i="4"/>
  <c r="O11" i="4"/>
  <c r="M2" i="1"/>
  <c r="D5" i="1" l="1"/>
  <c r="D13" i="1" l="1"/>
  <c r="D12" i="1"/>
  <c r="J12" i="1"/>
  <c r="C3" i="3"/>
  <c r="C2" i="3"/>
  <c r="E21" i="1" l="1"/>
  <c r="F21" i="1"/>
  <c r="G21" i="1"/>
  <c r="H21" i="1"/>
  <c r="I21" i="1"/>
  <c r="J21" i="1"/>
  <c r="K21" i="1"/>
  <c r="L21" i="1"/>
  <c r="M21" i="1"/>
  <c r="N21" i="1"/>
  <c r="O21" i="1"/>
  <c r="D21" i="1"/>
  <c r="P21" i="1" l="1"/>
  <c r="P20" i="1"/>
  <c r="D8" i="1"/>
  <c r="E8" i="1"/>
  <c r="F8" i="1"/>
  <c r="G8" i="1"/>
  <c r="H8" i="1"/>
  <c r="I8" i="1"/>
  <c r="J8" i="1"/>
  <c r="K8" i="1"/>
  <c r="L8" i="1"/>
  <c r="M8" i="1"/>
  <c r="N8" i="1"/>
  <c r="O8" i="1"/>
  <c r="D19" i="1" l="1"/>
  <c r="E19" i="1"/>
  <c r="F19" i="1"/>
  <c r="G19" i="1"/>
  <c r="H19" i="1"/>
  <c r="I19" i="1"/>
  <c r="J19" i="1"/>
  <c r="K19" i="1"/>
  <c r="L19" i="1"/>
  <c r="M19" i="1"/>
  <c r="N19" i="1"/>
  <c r="O19" i="1"/>
  <c r="D27" i="1"/>
  <c r="P8" i="1"/>
  <c r="P9" i="1"/>
  <c r="P10" i="1"/>
  <c r="L22" i="1" l="1"/>
  <c r="L28" i="1"/>
  <c r="H22" i="1"/>
  <c r="H28" i="1"/>
  <c r="O22" i="1"/>
  <c r="O28" i="1"/>
  <c r="K22" i="1"/>
  <c r="K28" i="1"/>
  <c r="G22" i="1"/>
  <c r="G28" i="1"/>
  <c r="N22" i="1"/>
  <c r="N28" i="1"/>
  <c r="J22" i="1"/>
  <c r="J28" i="1"/>
  <c r="F22" i="1"/>
  <c r="F28" i="1"/>
  <c r="M22" i="1"/>
  <c r="M28" i="1"/>
  <c r="I22" i="1"/>
  <c r="I28" i="1"/>
  <c r="D22" i="1"/>
  <c r="D28" i="1"/>
  <c r="K12" i="1"/>
  <c r="C4" i="3"/>
  <c r="N12" i="1"/>
  <c r="M12" i="1"/>
  <c r="L12" i="1"/>
  <c r="F13" i="1"/>
  <c r="I13" i="1"/>
  <c r="I12" i="1"/>
  <c r="H12" i="1"/>
  <c r="O12" i="1"/>
  <c r="E12" i="1"/>
  <c r="G12" i="1"/>
  <c r="F12" i="1"/>
  <c r="O13" i="1"/>
  <c r="E13" i="1"/>
  <c r="N13" i="1"/>
  <c r="M13" i="1"/>
  <c r="L13" i="1"/>
  <c r="K13" i="1"/>
  <c r="J13" i="1"/>
  <c r="H13" i="1"/>
  <c r="G13" i="1"/>
  <c r="I23" i="1" l="1"/>
  <c r="I29" i="1" s="1"/>
  <c r="M23" i="1"/>
  <c r="M29" i="1" s="1"/>
  <c r="N23" i="1"/>
  <c r="N29" i="1" s="1"/>
  <c r="L23" i="1"/>
  <c r="L29" i="1" s="1"/>
  <c r="F23" i="1"/>
  <c r="F29" i="1" s="1"/>
  <c r="J23" i="1"/>
  <c r="J29" i="1" s="1"/>
  <c r="D23" i="1"/>
  <c r="D29" i="1" s="1"/>
  <c r="G23" i="1"/>
  <c r="G29" i="1" s="1"/>
  <c r="K23" i="1"/>
  <c r="K29" i="1" s="1"/>
  <c r="O23" i="1"/>
  <c r="O29" i="1" s="1"/>
  <c r="H23" i="1"/>
  <c r="H29" i="1" s="1"/>
  <c r="K14" i="1"/>
  <c r="K16" i="1" s="1"/>
  <c r="K17" i="1" s="1"/>
  <c r="N14" i="1"/>
  <c r="N16" i="1" s="1"/>
  <c r="N17" i="1" s="1"/>
  <c r="M14" i="1"/>
  <c r="M16" i="1" s="1"/>
  <c r="M17" i="1" s="1"/>
  <c r="D14" i="1"/>
  <c r="D16" i="1" s="1"/>
  <c r="I14" i="1"/>
  <c r="I16" i="1" s="1"/>
  <c r="I17" i="1" s="1"/>
  <c r="L14" i="1"/>
  <c r="L16" i="1" s="1"/>
  <c r="L17" i="1" s="1"/>
  <c r="H14" i="1"/>
  <c r="H16" i="1" s="1"/>
  <c r="H17" i="1" s="1"/>
  <c r="O14" i="1"/>
  <c r="O16" i="1" s="1"/>
  <c r="O17" i="1" s="1"/>
  <c r="J14" i="1"/>
  <c r="J16" i="1" s="1"/>
  <c r="J17" i="1" s="1"/>
  <c r="F14" i="1"/>
  <c r="F16" i="1" s="1"/>
  <c r="F17" i="1" s="1"/>
  <c r="P12" i="1"/>
  <c r="G14" i="1"/>
  <c r="G16" i="1" s="1"/>
  <c r="G17" i="1" s="1"/>
  <c r="E14" i="1"/>
  <c r="P13" i="1"/>
  <c r="D17" i="1" l="1"/>
  <c r="E16" i="1"/>
  <c r="E17" i="1" s="1"/>
  <c r="P14" i="1"/>
  <c r="O24" i="1" l="1"/>
  <c r="M24" i="1"/>
  <c r="L24" i="1"/>
  <c r="H24" i="1"/>
  <c r="D24" i="1"/>
  <c r="D25" i="1" s="1"/>
  <c r="G24" i="1"/>
  <c r="K24" i="1"/>
  <c r="J24" i="1"/>
  <c r="I24" i="1"/>
  <c r="N24" i="1"/>
  <c r="F24" i="1"/>
  <c r="P16" i="1"/>
  <c r="F30" i="1" l="1"/>
  <c r="L25" i="1"/>
  <c r="K30" i="1"/>
  <c r="K25" i="1"/>
  <c r="N25" i="1"/>
  <c r="G25" i="1"/>
  <c r="L30" i="1"/>
  <c r="N30" i="1"/>
  <c r="G30" i="1"/>
  <c r="M25" i="1"/>
  <c r="H30" i="1"/>
  <c r="M30" i="1"/>
  <c r="I31" i="1"/>
  <c r="I32" i="1" s="1"/>
  <c r="I30" i="1"/>
  <c r="O25" i="1"/>
  <c r="O31" i="1"/>
  <c r="O32" i="1" s="1"/>
  <c r="O30" i="1"/>
  <c r="F25" i="1"/>
  <c r="I25" i="1"/>
  <c r="J31" i="1"/>
  <c r="J32" i="1" s="1"/>
  <c r="J30" i="1"/>
  <c r="D30" i="1"/>
  <c r="D31" i="1"/>
  <c r="J25" i="1"/>
  <c r="H25" i="1"/>
  <c r="F31" i="1"/>
  <c r="F32" i="1" s="1"/>
  <c r="L31" i="1"/>
  <c r="L32" i="1" s="1"/>
  <c r="N31" i="1"/>
  <c r="N32" i="1" s="1"/>
  <c r="G31" i="1"/>
  <c r="G32" i="1" s="1"/>
  <c r="K31" i="1"/>
  <c r="K32" i="1" s="1"/>
  <c r="H31" i="1"/>
  <c r="H32" i="1" s="1"/>
  <c r="M31" i="1"/>
  <c r="M32" i="1" s="1"/>
  <c r="D32" i="1" l="1"/>
  <c r="D33" i="1" s="1"/>
  <c r="F33" i="1"/>
  <c r="L33" i="1"/>
  <c r="H33" i="1"/>
  <c r="G33" i="1"/>
  <c r="M33" i="1"/>
  <c r="K33" i="1"/>
  <c r="N33" i="1"/>
  <c r="I33" i="1" l="1"/>
  <c r="J33" i="1"/>
  <c r="O33" i="1"/>
  <c r="O35" i="1"/>
  <c r="J35" i="1"/>
  <c r="I35" i="1"/>
  <c r="G35" i="1"/>
  <c r="N35" i="1"/>
  <c r="F35" i="1"/>
  <c r="H35" i="1"/>
  <c r="L35" i="1"/>
  <c r="K35" i="1"/>
  <c r="M35" i="1"/>
  <c r="D35" i="1" l="1"/>
  <c r="E22" i="1" l="1"/>
  <c r="E23" i="1" s="1"/>
  <c r="E28" i="1"/>
  <c r="P27" i="1"/>
  <c r="P18" i="1" s="1"/>
  <c r="P22" i="1" l="1"/>
  <c r="C9" i="3" s="1"/>
  <c r="F9" i="3" s="1"/>
  <c r="P23" i="1"/>
  <c r="E29" i="1"/>
  <c r="E24" i="1"/>
  <c r="E30" i="1" l="1"/>
  <c r="E31" i="1"/>
  <c r="E32" i="1" s="1"/>
  <c r="P29" i="1"/>
  <c r="D17" i="9" s="1"/>
  <c r="D7" i="9" s="1"/>
  <c r="E25" i="1"/>
  <c r="P24" i="1"/>
  <c r="P28" i="1"/>
  <c r="C7" i="3" s="1"/>
  <c r="E7" i="9" l="1"/>
  <c r="E7" i="6"/>
  <c r="C8" i="3"/>
  <c r="F16" i="8" s="1"/>
  <c r="E16" i="8" s="1"/>
  <c r="E38" i="1"/>
  <c r="E35" i="1"/>
  <c r="P32" i="1"/>
  <c r="E33" i="1"/>
  <c r="P33" i="1" s="1"/>
  <c r="C11" i="3" s="1"/>
  <c r="F11" i="3" s="1"/>
  <c r="F7" i="6" l="1"/>
  <c r="F7" i="9"/>
  <c r="F8" i="3"/>
  <c r="F5" i="5" s="1"/>
  <c r="C5" i="5"/>
  <c r="P35" i="1"/>
  <c r="C14" i="3" s="1"/>
  <c r="D20" i="9" s="1"/>
  <c r="C10" i="9" s="1"/>
  <c r="D10" i="9" s="1"/>
  <c r="C10" i="3"/>
  <c r="G7" i="9" l="1"/>
  <c r="G7" i="6"/>
  <c r="E10" i="9"/>
  <c r="E10" i="6"/>
  <c r="D13" i="9"/>
  <c r="F12" i="3"/>
  <c r="F13" i="3"/>
  <c r="F10" i="3"/>
  <c r="C15" i="3"/>
  <c r="C7" i="5"/>
  <c r="H7" i="6" l="1"/>
  <c r="H7" i="9"/>
  <c r="F10" i="9"/>
  <c r="F10" i="6"/>
  <c r="E13" i="9"/>
  <c r="D19" i="9"/>
  <c r="F15" i="8"/>
  <c r="E15" i="8" s="1"/>
  <c r="E13" i="6"/>
  <c r="D15" i="9"/>
  <c r="F14" i="3"/>
  <c r="C6" i="5"/>
  <c r="F15" i="3"/>
  <c r="F6" i="5" s="1"/>
  <c r="C17" i="3"/>
  <c r="C8" i="5" s="1"/>
  <c r="E17" i="8" l="1"/>
  <c r="N11" i="7" s="1"/>
  <c r="J4" i="8"/>
  <c r="H4" i="8"/>
  <c r="L4" i="8"/>
  <c r="G25" i="8"/>
  <c r="N10" i="7" s="1"/>
  <c r="G24" i="8"/>
  <c r="N9" i="7" s="1"/>
  <c r="G10" i="6"/>
  <c r="G10" i="9"/>
  <c r="F13" i="9"/>
  <c r="D16" i="9"/>
  <c r="E16" i="6" s="1"/>
  <c r="E15" i="6"/>
  <c r="V25" i="6" s="1"/>
  <c r="F13" i="6"/>
  <c r="E15" i="9"/>
  <c r="I7" i="9"/>
  <c r="I7" i="6"/>
  <c r="E16" i="9" l="1"/>
  <c r="F16" i="6" s="1"/>
  <c r="F15" i="6"/>
  <c r="G13" i="6"/>
  <c r="F15" i="9"/>
  <c r="H10" i="6"/>
  <c r="H10" i="9"/>
  <c r="G13" i="9"/>
  <c r="L5" i="8"/>
  <c r="M5" i="8" s="1"/>
  <c r="R5" i="8" s="1"/>
  <c r="M4" i="8"/>
  <c r="R4" i="8" s="1"/>
  <c r="V4" i="8"/>
  <c r="H5" i="8"/>
  <c r="I5" i="8" s="1"/>
  <c r="P5" i="8" s="1"/>
  <c r="I4" i="8"/>
  <c r="P4" i="8" s="1"/>
  <c r="T4" i="8"/>
  <c r="J7" i="9"/>
  <c r="J7" i="6"/>
  <c r="K4" i="8"/>
  <c r="Q4" i="8" s="1"/>
  <c r="U4" i="8"/>
  <c r="J5" i="8"/>
  <c r="K5" i="8" s="1"/>
  <c r="Q5" i="8" s="1"/>
  <c r="U5" i="8" l="1"/>
  <c r="J6" i="8"/>
  <c r="V5" i="8"/>
  <c r="L6" i="8"/>
  <c r="F16" i="9"/>
  <c r="G16" i="6" s="1"/>
  <c r="G15" i="6"/>
  <c r="H13" i="6"/>
  <c r="G15" i="9"/>
  <c r="K7" i="6"/>
  <c r="K7" i="9"/>
  <c r="T5" i="8"/>
  <c r="H6" i="8"/>
  <c r="I10" i="6"/>
  <c r="H13" i="9"/>
  <c r="I10" i="9"/>
  <c r="J10" i="6" l="1"/>
  <c r="I13" i="9"/>
  <c r="J10" i="9"/>
  <c r="I13" i="6"/>
  <c r="H15" i="9"/>
  <c r="G16" i="9"/>
  <c r="H16" i="6" s="1"/>
  <c r="H15" i="6"/>
  <c r="M6" i="8"/>
  <c r="R6" i="8" s="1"/>
  <c r="L7" i="8"/>
  <c r="V6" i="8"/>
  <c r="L7" i="9"/>
  <c r="L7" i="6"/>
  <c r="K6" i="8"/>
  <c r="Q6" i="8" s="1"/>
  <c r="U6" i="8"/>
  <c r="J7" i="8"/>
  <c r="K7" i="8" s="1"/>
  <c r="Q7" i="8" s="1"/>
  <c r="H7" i="8"/>
  <c r="T6" i="8"/>
  <c r="I6" i="8"/>
  <c r="P6" i="8" s="1"/>
  <c r="I7" i="8" l="1"/>
  <c r="P7" i="8" s="1"/>
  <c r="M7" i="9"/>
  <c r="M7" i="6"/>
  <c r="K10" i="6"/>
  <c r="K10" i="9"/>
  <c r="J13" i="9"/>
  <c r="T7" i="8"/>
  <c r="H8" i="8"/>
  <c r="I8" i="8" s="1"/>
  <c r="P8" i="8" s="1"/>
  <c r="J13" i="6"/>
  <c r="I15" i="9"/>
  <c r="U7" i="8"/>
  <c r="J8" i="8"/>
  <c r="M7" i="8"/>
  <c r="R7" i="8" s="1"/>
  <c r="L8" i="8"/>
  <c r="V7" i="8"/>
  <c r="H16" i="9"/>
  <c r="I16" i="6" s="1"/>
  <c r="I15" i="6"/>
  <c r="J9" i="8" l="1"/>
  <c r="K9" i="8" s="1"/>
  <c r="Q9" i="8" s="1"/>
  <c r="U8" i="8"/>
  <c r="K13" i="6"/>
  <c r="J15" i="9"/>
  <c r="N7" i="9"/>
  <c r="N7" i="6"/>
  <c r="K13" i="9"/>
  <c r="L10" i="6"/>
  <c r="L10" i="9"/>
  <c r="M8" i="8"/>
  <c r="R8" i="8" s="1"/>
  <c r="V8" i="8"/>
  <c r="L9" i="8"/>
  <c r="M9" i="8" s="1"/>
  <c r="R9" i="8" s="1"/>
  <c r="I16" i="9"/>
  <c r="J16" i="6" s="1"/>
  <c r="J15" i="6"/>
  <c r="V26" i="6" s="1"/>
  <c r="T8" i="8"/>
  <c r="H9" i="8"/>
  <c r="K8" i="8"/>
  <c r="Q8" i="8" s="1"/>
  <c r="I9" i="8" l="1"/>
  <c r="P9" i="8" s="1"/>
  <c r="J16" i="9"/>
  <c r="K16" i="6" s="1"/>
  <c r="K15" i="6"/>
  <c r="U9" i="8"/>
  <c r="J10" i="8"/>
  <c r="K10" i="8" s="1"/>
  <c r="Q10" i="8" s="1"/>
  <c r="M10" i="9"/>
  <c r="M10" i="6"/>
  <c r="L13" i="9"/>
  <c r="T9" i="8"/>
  <c r="H10" i="8"/>
  <c r="L10" i="8"/>
  <c r="M10" i="8" s="1"/>
  <c r="R10" i="8" s="1"/>
  <c r="V9" i="8"/>
  <c r="O7" i="9"/>
  <c r="O7" i="6"/>
  <c r="L13" i="6"/>
  <c r="K15" i="9"/>
  <c r="H11" i="8" l="1"/>
  <c r="I11" i="8" s="1"/>
  <c r="P11" i="8" s="1"/>
  <c r="T10" i="8"/>
  <c r="K16" i="9"/>
  <c r="L16" i="6" s="1"/>
  <c r="L15" i="6"/>
  <c r="M13" i="6"/>
  <c r="L15" i="9"/>
  <c r="P7" i="9"/>
  <c r="P7" i="6"/>
  <c r="L11" i="8"/>
  <c r="V10" i="8"/>
  <c r="I10" i="8"/>
  <c r="P10" i="8" s="1"/>
  <c r="J11" i="8"/>
  <c r="K11" i="8" s="1"/>
  <c r="Q11" i="8" s="1"/>
  <c r="U10" i="8"/>
  <c r="N10" i="6"/>
  <c r="M13" i="9"/>
  <c r="N10" i="9"/>
  <c r="Q7" i="9" l="1"/>
  <c r="Q7" i="6"/>
  <c r="O10" i="9"/>
  <c r="N13" i="9"/>
  <c r="O10" i="6"/>
  <c r="U11" i="8"/>
  <c r="J12" i="8"/>
  <c r="K12" i="8" s="1"/>
  <c r="Q12" i="8" s="1"/>
  <c r="L12" i="8"/>
  <c r="V11" i="8"/>
  <c r="M11" i="8"/>
  <c r="R11" i="8" s="1"/>
  <c r="L16" i="9"/>
  <c r="M16" i="6" s="1"/>
  <c r="M15" i="6"/>
  <c r="T11" i="8"/>
  <c r="H12" i="8"/>
  <c r="N13" i="6"/>
  <c r="M15" i="9"/>
  <c r="O13" i="6" l="1"/>
  <c r="N15" i="9"/>
  <c r="J13" i="8"/>
  <c r="U12" i="8"/>
  <c r="O13" i="9"/>
  <c r="P10" i="6"/>
  <c r="P10" i="9"/>
  <c r="M16" i="9"/>
  <c r="N16" i="6" s="1"/>
  <c r="N15" i="6"/>
  <c r="I12" i="8"/>
  <c r="P12" i="8" s="1"/>
  <c r="H13" i="8"/>
  <c r="T12" i="8"/>
  <c r="M12" i="8"/>
  <c r="R12" i="8" s="1"/>
  <c r="L13" i="8"/>
  <c r="V12" i="8"/>
  <c r="R7" i="9"/>
  <c r="R7" i="6"/>
  <c r="L14" i="8" l="1"/>
  <c r="V13" i="8"/>
  <c r="M13" i="8"/>
  <c r="R13" i="8" s="1"/>
  <c r="H14" i="8"/>
  <c r="T13" i="8"/>
  <c r="I13" i="8"/>
  <c r="P13" i="8" s="1"/>
  <c r="Q10" i="9"/>
  <c r="P13" i="9"/>
  <c r="Q10" i="6"/>
  <c r="U13" i="8"/>
  <c r="J14" i="8"/>
  <c r="S7" i="9"/>
  <c r="S7" i="6"/>
  <c r="P13" i="6"/>
  <c r="O15" i="9"/>
  <c r="K13" i="8"/>
  <c r="Q13" i="8" s="1"/>
  <c r="N16" i="9"/>
  <c r="O16" i="6" s="1"/>
  <c r="O15" i="6"/>
  <c r="V27" i="6" s="1"/>
  <c r="V14" i="8" l="1"/>
  <c r="L15" i="8"/>
  <c r="M14" i="8"/>
  <c r="R14" i="8" s="1"/>
  <c r="O16" i="9"/>
  <c r="P16" i="6" s="1"/>
  <c r="P15" i="6"/>
  <c r="T7" i="9"/>
  <c r="T7" i="6"/>
  <c r="Q13" i="6"/>
  <c r="P15" i="9"/>
  <c r="T14" i="8"/>
  <c r="H15" i="8"/>
  <c r="I14" i="8"/>
  <c r="P14" i="8" s="1"/>
  <c r="Q13" i="9"/>
  <c r="R10" i="6"/>
  <c r="R10" i="9"/>
  <c r="J15" i="8"/>
  <c r="U14" i="8"/>
  <c r="K14" i="8"/>
  <c r="Q14" i="8" s="1"/>
  <c r="S10" i="6" l="1"/>
  <c r="S10" i="9"/>
  <c r="R13" i="9"/>
  <c r="H16" i="8"/>
  <c r="T15" i="8"/>
  <c r="I15" i="8"/>
  <c r="P15" i="8" s="1"/>
  <c r="U15" i="8"/>
  <c r="J16" i="8"/>
  <c r="K15" i="8"/>
  <c r="Q15" i="8" s="1"/>
  <c r="R13" i="6"/>
  <c r="Q15" i="9"/>
  <c r="P16" i="9"/>
  <c r="Q16" i="6" s="1"/>
  <c r="Q15" i="6"/>
  <c r="U7" i="9"/>
  <c r="U7" i="6"/>
  <c r="L16" i="8"/>
  <c r="V15" i="8"/>
  <c r="M15" i="8"/>
  <c r="R15" i="8" s="1"/>
  <c r="L17" i="8" l="1"/>
  <c r="V16" i="8"/>
  <c r="M16" i="8"/>
  <c r="R16" i="8" s="1"/>
  <c r="J17" i="8"/>
  <c r="U16" i="8"/>
  <c r="K16" i="8"/>
  <c r="Q16" i="8" s="1"/>
  <c r="H17" i="8"/>
  <c r="T16" i="8"/>
  <c r="I16" i="8"/>
  <c r="P16" i="8" s="1"/>
  <c r="R15" i="6"/>
  <c r="Q16" i="9"/>
  <c r="R16" i="6" s="1"/>
  <c r="S13" i="6"/>
  <c r="R15" i="9"/>
  <c r="V7" i="9"/>
  <c r="V7" i="6"/>
  <c r="T10" i="9"/>
  <c r="S13" i="9"/>
  <c r="T10" i="6"/>
  <c r="S15" i="6" l="1"/>
  <c r="R16" i="9"/>
  <c r="S16" i="6" s="1"/>
  <c r="L18" i="8"/>
  <c r="V17" i="8"/>
  <c r="M17" i="8"/>
  <c r="R17" i="8" s="1"/>
  <c r="U17" i="8"/>
  <c r="J18" i="8"/>
  <c r="K17" i="8"/>
  <c r="Q17" i="8" s="1"/>
  <c r="H18" i="8"/>
  <c r="T17" i="8"/>
  <c r="I17" i="8"/>
  <c r="P17" i="8" s="1"/>
  <c r="T13" i="6"/>
  <c r="S15" i="9"/>
  <c r="W7" i="6"/>
  <c r="W7" i="9"/>
  <c r="U10" i="9"/>
  <c r="T13" i="9"/>
  <c r="U10" i="6"/>
  <c r="X7" i="6" l="1"/>
  <c r="T15" i="6"/>
  <c r="S16" i="9"/>
  <c r="T16" i="6" s="1"/>
  <c r="H19" i="8"/>
  <c r="T18" i="8"/>
  <c r="E19" i="8" s="1"/>
  <c r="I18" i="8"/>
  <c r="P18" i="8" s="1"/>
  <c r="J19" i="8"/>
  <c r="U18" i="8"/>
  <c r="F19" i="8" s="1"/>
  <c r="K18" i="8"/>
  <c r="Q18" i="8" s="1"/>
  <c r="V18" i="8"/>
  <c r="G19" i="8" s="1"/>
  <c r="L19" i="8"/>
  <c r="M18" i="8"/>
  <c r="R18" i="8" s="1"/>
  <c r="U13" i="6"/>
  <c r="T15" i="9"/>
  <c r="V10" i="9"/>
  <c r="U13" i="9"/>
  <c r="V10" i="6"/>
  <c r="V13" i="6" l="1"/>
  <c r="U15" i="9"/>
  <c r="H20" i="8"/>
  <c r="T19" i="8"/>
  <c r="I19" i="8"/>
  <c r="P19" i="8" s="1"/>
  <c r="W10" i="6"/>
  <c r="W10" i="9"/>
  <c r="V13" i="9"/>
  <c r="V19" i="8"/>
  <c r="L20" i="8"/>
  <c r="M19" i="8"/>
  <c r="R19" i="8" s="1"/>
  <c r="U19" i="8"/>
  <c r="J20" i="8"/>
  <c r="K19" i="8"/>
  <c r="Q19" i="8" s="1"/>
  <c r="T16" i="9"/>
  <c r="U16" i="6" s="1"/>
  <c r="U15" i="6"/>
  <c r="W13" i="6" l="1"/>
  <c r="V15" i="9"/>
  <c r="W13" i="9"/>
  <c r="X10" i="6"/>
  <c r="T20" i="8"/>
  <c r="H21" i="8"/>
  <c r="I20" i="8"/>
  <c r="P20" i="8" s="1"/>
  <c r="V20" i="8"/>
  <c r="L21" i="8"/>
  <c r="M20" i="8"/>
  <c r="R20" i="8" s="1"/>
  <c r="U16" i="9"/>
  <c r="V16" i="6" s="1"/>
  <c r="V15" i="6"/>
  <c r="U20" i="8"/>
  <c r="J21" i="8"/>
  <c r="K20" i="8"/>
  <c r="Q20" i="8" s="1"/>
  <c r="X13" i="6" l="1"/>
  <c r="W15" i="9"/>
  <c r="H22" i="8"/>
  <c r="T21" i="8"/>
  <c r="I21" i="8"/>
  <c r="P21" i="8" s="1"/>
  <c r="W15" i="6"/>
  <c r="V16" i="9"/>
  <c r="W16" i="6" s="1"/>
  <c r="U21" i="8"/>
  <c r="J22" i="8"/>
  <c r="K21" i="8"/>
  <c r="Q21" i="8" s="1"/>
  <c r="V21" i="8"/>
  <c r="L22" i="8"/>
  <c r="M21" i="8"/>
  <c r="R21" i="8" s="1"/>
  <c r="L23" i="8" l="1"/>
  <c r="V22" i="8"/>
  <c r="M22" i="8"/>
  <c r="R22" i="8" s="1"/>
  <c r="J23" i="8"/>
  <c r="U22" i="8"/>
  <c r="K22" i="8"/>
  <c r="Q22" i="8" s="1"/>
  <c r="H23" i="8"/>
  <c r="T22" i="8"/>
  <c r="I22" i="8"/>
  <c r="P22" i="8" s="1"/>
  <c r="X15" i="6"/>
  <c r="V28" i="6" s="1"/>
  <c r="W16" i="9"/>
  <c r="X16" i="6" s="1"/>
  <c r="V23" i="8" l="1"/>
  <c r="G20" i="8" s="1"/>
  <c r="M23" i="8"/>
  <c r="R23" i="8" s="1"/>
  <c r="U23" i="8"/>
  <c r="F20" i="8" s="1"/>
  <c r="K23" i="8"/>
  <c r="Q23" i="8" s="1"/>
  <c r="T23" i="8"/>
  <c r="E20" i="8" s="1"/>
  <c r="I23" i="8"/>
  <c r="P23" i="8" s="1"/>
</calcChain>
</file>

<file path=xl/sharedStrings.xml><?xml version="1.0" encoding="utf-8"?>
<sst xmlns="http://schemas.openxmlformats.org/spreadsheetml/2006/main" count="269" uniqueCount="182">
  <si>
    <t>(valeurs d'irradiation issus de Calsol de l'INES)</t>
  </si>
  <si>
    <t xml:space="preserve">Rendement des tubes </t>
  </si>
  <si>
    <t>Coefficient angle (direct)</t>
  </si>
  <si>
    <t>Nombre de Tubes</t>
  </si>
  <si>
    <t>Réseaux et échangeurs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</si>
  <si>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</si>
  <si>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</si>
  <si>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</si>
  <si>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</si>
  <si>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</si>
  <si>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</si>
  <si>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</si>
  <si>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</si>
  <si>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</si>
  <si>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</si>
  <si>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</si>
  <si>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</si>
  <si>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</si>
  <si>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Irradiation Globale (45°)</t>
  </si>
  <si>
    <t>Irradiation Direct</t>
  </si>
  <si>
    <t>Irradiation Diffus</t>
  </si>
  <si>
    <t>nb de jour opérationel</t>
  </si>
  <si>
    <t>Coefficient réfléchis+diffus</t>
  </si>
  <si>
    <t>température eau froide °C</t>
  </si>
  <si>
    <t>température eau chaude °C</t>
  </si>
  <si>
    <t xml:space="preserve">Perte de chauffe et de maintien </t>
  </si>
  <si>
    <t xml:space="preserve">Réduction de temps de chauffe </t>
  </si>
  <si>
    <t>Tube / ballon</t>
  </si>
  <si>
    <t>Nombre de ballon</t>
  </si>
  <si>
    <r>
      <t xml:space="preserve">Prévision Energétique </t>
    </r>
    <r>
      <rPr>
        <sz val="9"/>
        <color indexed="8"/>
        <rFont val="Arial"/>
        <family val="2"/>
      </rPr>
      <t>(Le Mans)</t>
    </r>
  </si>
  <si>
    <t>ECS par mois (L)</t>
  </si>
  <si>
    <t>Désignation</t>
  </si>
  <si>
    <t>conso. de gaz  par an</t>
  </si>
  <si>
    <t>Solaire Thermique utile</t>
  </si>
  <si>
    <t>Tubes / unité</t>
  </si>
  <si>
    <t>Nombre d'unités</t>
  </si>
  <si>
    <t>Besoin énergie (kWh/an)  E0' sans solaire thermique</t>
  </si>
  <si>
    <t>Consommation  énergie conventionnelle  (kWh/an)
  avec solaire thermique</t>
  </si>
  <si>
    <t>Surface d'encombrement devant d'une unité (m²)</t>
  </si>
  <si>
    <t>Solaire utile par surface d'emcombrement devant(kWh/m²/an)=</t>
  </si>
  <si>
    <t>Solaire utile par surface effective devant (kWh/m²/an)=</t>
  </si>
  <si>
    <t>Calcul</t>
  </si>
  <si>
    <t xml:space="preserve">Economie de propane </t>
  </si>
  <si>
    <t>kg/an</t>
  </si>
  <si>
    <t>Economie d'énergie par surface d'encombrement devant</t>
  </si>
  <si>
    <t>kWh/m²/an</t>
  </si>
  <si>
    <t>(réfléchie = 0,3 diffus)</t>
  </si>
  <si>
    <t>SYSTÈME FENGTECH SIMULATION</t>
  </si>
  <si>
    <t xml:space="preserve">Albedo </t>
  </si>
  <si>
    <t>Nombre des unités ETF</t>
  </si>
  <si>
    <t xml:space="preserve">Propane </t>
  </si>
  <si>
    <t>Unité (kWh/m² x jours)</t>
  </si>
  <si>
    <t>Unité (kWh / m² / jour)</t>
  </si>
  <si>
    <t>Nombre de jour opérationel</t>
  </si>
  <si>
    <t>Température eau froide °C</t>
  </si>
  <si>
    <t>Projet</t>
  </si>
  <si>
    <t>Date</t>
  </si>
  <si>
    <t>Surface effective devant d'une unité (m²)</t>
  </si>
  <si>
    <t>Energie appoint (gaz ou autre)</t>
  </si>
  <si>
    <t>valeurs d'irradiation (Calsol INES)</t>
  </si>
  <si>
    <t xml:space="preserve">Irradiation Direct </t>
  </si>
  <si>
    <t>(kWh / mois)</t>
  </si>
  <si>
    <t>Irradiation Diffus+Reflé</t>
  </si>
  <si>
    <t xml:space="preserve">Irradiation Globale </t>
  </si>
  <si>
    <t>(kWh / jour)</t>
  </si>
  <si>
    <t>Besoins en énergie</t>
  </si>
  <si>
    <t>Potentiel solaire</t>
  </si>
  <si>
    <t>E0</t>
  </si>
  <si>
    <t>E0'</t>
  </si>
  <si>
    <t>E1</t>
  </si>
  <si>
    <t>E2'</t>
  </si>
  <si>
    <t>E1/E0</t>
  </si>
  <si>
    <t>Taux  de couverture par mois</t>
  </si>
  <si>
    <t>kWh/an</t>
  </si>
  <si>
    <t>Besoin d'énergie annuel</t>
  </si>
  <si>
    <t>Réduction des émissions de CO2</t>
  </si>
  <si>
    <t>Réduction des émissions CO2 (kg/an)</t>
  </si>
  <si>
    <t>Economie d'énergie</t>
  </si>
  <si>
    <t>Taux d'économie d'énergie</t>
  </si>
  <si>
    <t>Résultats de simulation</t>
  </si>
  <si>
    <t>Energie utile total (kWh/an)</t>
  </si>
  <si>
    <t>Solaire utile (kWh/an)</t>
  </si>
  <si>
    <t>Ve</t>
  </si>
  <si>
    <t>Va</t>
  </si>
  <si>
    <t>Couverture énergie renouvelable</t>
  </si>
  <si>
    <t>Economie d'énergie (kWh/an)</t>
  </si>
  <si>
    <t xml:space="preserve">Besoins en énergie total </t>
  </si>
  <si>
    <t>Energie de chauffe (s/Sth)/mois</t>
  </si>
  <si>
    <t>Energie de chauffe (s/Sth)/jour</t>
  </si>
  <si>
    <t>Besoins de Chauffage /jour</t>
  </si>
  <si>
    <t>Besoins de Chauffage/mois</t>
  </si>
  <si>
    <t>Energie de chauffe (a/Sth)/mois</t>
  </si>
  <si>
    <t>Energie de chauffe (a/Sth)/jour</t>
  </si>
  <si>
    <t>Conso. D'énergie de chauffage  par an</t>
  </si>
  <si>
    <t>Conso de chauffage/jour (kWh/Jour)</t>
  </si>
  <si>
    <t>Température de chauffage (°C)</t>
  </si>
  <si>
    <t xml:space="preserve">Besoin de chauffage (kWh/an) </t>
  </si>
  <si>
    <t>xxx</t>
  </si>
  <si>
    <t>Lille</t>
  </si>
  <si>
    <t>kWh</t>
  </si>
  <si>
    <t>Conso chauffage kWh/J</t>
  </si>
  <si>
    <t>Simulation Financement et ROIC</t>
  </si>
  <si>
    <t>Investissement éligible aux aides</t>
  </si>
  <si>
    <t>euros</t>
  </si>
  <si>
    <t>Aides</t>
  </si>
  <si>
    <t>Invesstissement non-éligible aux aides</t>
  </si>
  <si>
    <t>Capitaux investis</t>
  </si>
  <si>
    <t>Taux d'emprunt</t>
  </si>
  <si>
    <t>Durée d'emprunt</t>
  </si>
  <si>
    <t>an</t>
  </si>
  <si>
    <t>Hypothèse d'augmentation d'énergie / an</t>
  </si>
  <si>
    <t>Tarif d'énergie conventionnelle actuel</t>
  </si>
  <si>
    <t>euro HT/ kWh</t>
  </si>
  <si>
    <t>Site preparation</t>
  </si>
  <si>
    <t>€HT</t>
  </si>
  <si>
    <t>ETF unit installation</t>
  </si>
  <si>
    <t>€HT/unité</t>
  </si>
  <si>
    <t>Prix estimé</t>
  </si>
  <si>
    <t>20 èmé années</t>
  </si>
  <si>
    <t>11 ème année</t>
  </si>
  <si>
    <t>Durée d'emprunt (an)</t>
  </si>
  <si>
    <t>6 ème année</t>
  </si>
  <si>
    <t>1ère année</t>
  </si>
  <si>
    <t xml:space="preserve">Résulats annuelle </t>
  </si>
  <si>
    <t>Investissement total</t>
  </si>
  <si>
    <t>Date:</t>
  </si>
  <si>
    <t>Projet:</t>
  </si>
  <si>
    <t>avec</t>
  </si>
  <si>
    <t>Résultat de simulation de financement</t>
  </si>
  <si>
    <t>Total investissement (avec aide)</t>
  </si>
  <si>
    <t xml:space="preserve">Aides </t>
  </si>
  <si>
    <t>Capitaux investis (hors aides)</t>
  </si>
  <si>
    <t>Retour sur capitaux investis (ROIC)</t>
  </si>
  <si>
    <t>ans</t>
  </si>
  <si>
    <t>Retour sur l'investissement (ROI)</t>
  </si>
  <si>
    <t>Date :</t>
  </si>
  <si>
    <t>Projet :</t>
  </si>
  <si>
    <t>Résumé de simulation ROI et ROIC</t>
  </si>
  <si>
    <t xml:space="preserve">Retour sur capitaux investis ROIC (an) = </t>
  </si>
  <si>
    <t>Retour sur investissement ROI (ans) =</t>
  </si>
  <si>
    <t>ROIC (à 20 ans)</t>
  </si>
  <si>
    <t>ROIC (à 15 ans)</t>
  </si>
  <si>
    <t>Taux de'économie d'énergie</t>
  </si>
  <si>
    <t>Facture d'énergie actuelle</t>
  </si>
  <si>
    <t>Economie d'énergie de la 1ere année</t>
  </si>
  <si>
    <t>Augementation du prix d'énergie par an</t>
  </si>
  <si>
    <t>taux des aides publiques</t>
  </si>
  <si>
    <t>invertissement non éligible aux aides</t>
  </si>
  <si>
    <t xml:space="preserve">Inversissement éligible aux aides </t>
  </si>
  <si>
    <t>Invertissement total</t>
  </si>
  <si>
    <t>Taux de rendement</t>
  </si>
  <si>
    <t>ROI 3</t>
  </si>
  <si>
    <t>ROI 2</t>
  </si>
  <si>
    <t>ROI 1</t>
  </si>
  <si>
    <t>Economie cumulée</t>
  </si>
  <si>
    <t>Economie par an</t>
  </si>
  <si>
    <t>Taux 3</t>
  </si>
  <si>
    <t>Taux 2</t>
  </si>
  <si>
    <t>Taux 1</t>
  </si>
  <si>
    <t>/an</t>
  </si>
  <si>
    <t>Hypothèse d'augmentation énergie</t>
  </si>
  <si>
    <t xml:space="preserve">Taux de couverture </t>
  </si>
  <si>
    <t>€HT/ kWh</t>
  </si>
  <si>
    <t xml:space="preserve">Economie d'énergie </t>
  </si>
  <si>
    <t>Prix de l'énergie</t>
  </si>
  <si>
    <t>Consommation sans solaire</t>
  </si>
  <si>
    <t>Eco d'énergie €HT /mois</t>
  </si>
  <si>
    <t>Eco d'énergie (1-5) €HT/an</t>
  </si>
  <si>
    <t>Charge avec solaire (2+3+4)</t>
  </si>
  <si>
    <t xml:space="preserve">Entretien du système </t>
  </si>
  <si>
    <t>Gaz restant à acheter</t>
  </si>
  <si>
    <t>Taux</t>
  </si>
  <si>
    <t xml:space="preserve">Remboursement emprunt </t>
  </si>
  <si>
    <t>Durée</t>
  </si>
  <si>
    <t>Capital</t>
  </si>
  <si>
    <t>Charge sans solaire</t>
  </si>
  <si>
    <t>N°</t>
  </si>
  <si>
    <t>Investissement système solaire thermique- financement</t>
  </si>
  <si>
    <t>Chauffage Solaire des bâtiments</t>
  </si>
  <si>
    <t>gaz de ville</t>
  </si>
  <si>
    <t>OPZOEK Bât E</t>
  </si>
  <si>
    <t>Investis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</si>
</sst>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&quot;VRAI&quot;;&quot;VRAI&quot;;&quot;FAUX&quot;"/>
    <numFmt numFmtId="165" formatCode="#,##0_ ;\-#,##0\ "/>
    <numFmt numFmtId="166" formatCode="_-* #,##0\ _€_-;\-* #,##0\ _€_-;_-* &quot;-&quot;??\ _€_-;_-@_-"/>
    <numFmt numFmtId="167" formatCode="_(&quot;€&quot;* #,##0.00_);_(&quot;€&quot;* \(#,##0.00\);_(&quot;€&quot;* &quot;-&quot;??_);_(@_)"/>
    <numFmt numFmtId="168" formatCode="_(* #,##0.00_);_(* \(#,##0.00\);_(* &quot;-&quot;??_);_(@_)"/>
    <numFmt numFmtId="169" formatCode="0.0%"/>
    <numFmt numFmtId="170" formatCode="0.0"/>
    <numFmt numFmtId="171" formatCode="0.000"/>
    <numFmt numFmtId="172" formatCode="_-* #,##0.00\ [$€-40C]_-;\-* #,##0.00\ [$€-40C]_-;_-* &quot;-&quot;??\ [$€-40C]_-;_-@_-"/>
    <numFmt numFmtId="173" formatCode="#,##0\ _€"/>
  </numFmts>
  <fonts count="43" x14ac:knownFonts="1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9"/>
      <color indexed="19"/>
      <name val="Arial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rgb="FF000000"/>
      <name val="Times New Roman"/>
      <family val="1"/>
    </font>
    <font>
      <b/>
      <sz val="11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4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2"/>
      </patternFill>
    </fill>
    <fill>
      <patternFill patternType="solid">
        <fgColor rgb="FFFF9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42"/>
      </patternFill>
    </fill>
    <fill>
      <patternFill patternType="solid">
        <fgColor theme="1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E63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42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10" fontId="3" fillId="0" borderId="2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4" borderId="1" xfId="0" applyFont="1" applyFill="1" applyBorder="1"/>
    <xf numFmtId="4" fontId="5" fillId="3" borderId="1" xfId="0" applyNumberFormat="1" applyFont="1" applyFill="1" applyBorder="1"/>
    <xf numFmtId="0" fontId="6" fillId="0" borderId="1" xfId="0" applyFont="1" applyBorder="1" applyAlignment="1">
      <alignment horizontal="left"/>
    </xf>
    <xf numFmtId="4" fontId="4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1" fontId="3" fillId="3" borderId="1" xfId="0" applyNumberFormat="1" applyFont="1" applyFill="1" applyBorder="1"/>
    <xf numFmtId="1" fontId="2" fillId="3" borderId="1" xfId="0" applyNumberFormat="1" applyFont="1" applyFill="1" applyBorder="1"/>
    <xf numFmtId="0" fontId="3" fillId="0" borderId="2" xfId="0" applyNumberFormat="1" applyFont="1" applyFill="1" applyBorder="1"/>
    <xf numFmtId="1" fontId="3" fillId="0" borderId="3" xfId="0" applyNumberFormat="1" applyFont="1" applyBorder="1"/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" fontId="2" fillId="0" borderId="1" xfId="0" applyNumberFormat="1" applyFont="1" applyBorder="1"/>
    <xf numFmtId="0" fontId="2" fillId="0" borderId="1" xfId="0" applyFont="1" applyBorder="1"/>
    <xf numFmtId="164" fontId="3" fillId="0" borderId="1" xfId="0" applyNumberFormat="1" applyFont="1" applyBorder="1"/>
    <xf numFmtId="9" fontId="3" fillId="0" borderId="1" xfId="0" applyNumberFormat="1" applyFont="1" applyBorder="1"/>
    <xf numFmtId="9" fontId="2" fillId="0" borderId="1" xfId="0" applyNumberFormat="1" applyFont="1" applyBorder="1"/>
    <xf numFmtId="0" fontId="3" fillId="0" borderId="0" xfId="0" applyNumberFormat="1" applyFont="1"/>
    <xf numFmtId="0" fontId="3" fillId="0" borderId="2" xfId="0" applyNumberFormat="1" applyFont="1" applyBorder="1"/>
    <xf numFmtId="0" fontId="3" fillId="7" borderId="0" xfId="0" applyNumberFormat="1" applyFont="1" applyFill="1"/>
    <xf numFmtId="1" fontId="3" fillId="0" borderId="0" xfId="0" applyNumberFormat="1" applyFont="1"/>
    <xf numFmtId="3" fontId="3" fillId="0" borderId="0" xfId="0" applyNumberFormat="1" applyFont="1"/>
    <xf numFmtId="0" fontId="2" fillId="5" borderId="2" xfId="0" applyNumberFormat="1" applyFont="1" applyFill="1" applyBorder="1"/>
    <xf numFmtId="0" fontId="7" fillId="8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0" fillId="0" borderId="0" xfId="0" applyNumberFormat="1" applyAlignment="1">
      <alignment horizontal="right"/>
    </xf>
    <xf numFmtId="9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1" applyFont="1" applyAlignment="1">
      <alignment horizontal="right"/>
    </xf>
    <xf numFmtId="9" fontId="10" fillId="0" borderId="0" xfId="1" applyFont="1" applyAlignment="1">
      <alignment horizontal="left"/>
    </xf>
    <xf numFmtId="2" fontId="0" fillId="0" borderId="0" xfId="0" applyNumberFormat="1"/>
    <xf numFmtId="9" fontId="0" fillId="0" borderId="0" xfId="1" applyFont="1"/>
    <xf numFmtId="1" fontId="0" fillId="0" borderId="0" xfId="1" applyNumberFormat="1" applyFont="1"/>
    <xf numFmtId="0" fontId="2" fillId="5" borderId="2" xfId="0" applyFont="1" applyFill="1" applyBorder="1"/>
    <xf numFmtId="0" fontId="2" fillId="9" borderId="2" xfId="0" applyFont="1" applyFill="1" applyBorder="1"/>
    <xf numFmtId="1" fontId="3" fillId="10" borderId="1" xfId="0" applyNumberFormat="1" applyFont="1" applyFill="1" applyBorder="1"/>
    <xf numFmtId="1" fontId="3" fillId="10" borderId="4" xfId="0" applyNumberFormat="1" applyFont="1" applyFill="1" applyBorder="1"/>
    <xf numFmtId="1" fontId="3" fillId="9" borderId="1" xfId="0" applyNumberFormat="1" applyFont="1" applyFill="1" applyBorder="1"/>
    <xf numFmtId="0" fontId="3" fillId="5" borderId="2" xfId="0" applyFont="1" applyFill="1" applyBorder="1"/>
    <xf numFmtId="0" fontId="2" fillId="12" borderId="2" xfId="0" applyFont="1" applyFill="1" applyBorder="1"/>
    <xf numFmtId="9" fontId="2" fillId="5" borderId="2" xfId="0" applyNumberFormat="1" applyFont="1" applyFill="1" applyBorder="1"/>
    <xf numFmtId="0" fontId="11" fillId="9" borderId="2" xfId="0" applyFont="1" applyFill="1" applyBorder="1"/>
    <xf numFmtId="0" fontId="12" fillId="0" borderId="0" xfId="0" applyFont="1"/>
    <xf numFmtId="0" fontId="13" fillId="0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5" fillId="11" borderId="2" xfId="0" applyFont="1" applyFill="1" applyBorder="1" applyAlignment="1">
      <alignment horizontal="right"/>
    </xf>
    <xf numFmtId="0" fontId="0" fillId="0" borderId="0" xfId="0" applyBorder="1"/>
    <xf numFmtId="0" fontId="13" fillId="0" borderId="2" xfId="0" applyFont="1" applyBorder="1" applyAlignment="1">
      <alignment horizontal="center"/>
    </xf>
    <xf numFmtId="0" fontId="12" fillId="9" borderId="2" xfId="0" applyFont="1" applyFill="1" applyBorder="1" applyAlignment="1">
      <alignment horizontal="right"/>
    </xf>
    <xf numFmtId="0" fontId="12" fillId="11" borderId="2" xfId="0" applyFont="1" applyFill="1" applyBorder="1" applyAlignment="1">
      <alignment horizontal="right"/>
    </xf>
    <xf numFmtId="0" fontId="16" fillId="9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 wrapText="1"/>
    </xf>
    <xf numFmtId="0" fontId="11" fillId="0" borderId="0" xfId="0" applyFont="1"/>
    <xf numFmtId="165" fontId="14" fillId="9" borderId="2" xfId="0" applyNumberFormat="1" applyFont="1" applyFill="1" applyBorder="1"/>
    <xf numFmtId="165" fontId="12" fillId="0" borderId="2" xfId="0" applyNumberFormat="1" applyFont="1" applyBorder="1"/>
    <xf numFmtId="165" fontId="14" fillId="11" borderId="2" xfId="0" applyNumberFormat="1" applyFont="1" applyFill="1" applyBorder="1"/>
    <xf numFmtId="165" fontId="16" fillId="0" borderId="2" xfId="0" applyNumberFormat="1" applyFont="1" applyBorder="1"/>
    <xf numFmtId="3" fontId="14" fillId="11" borderId="2" xfId="0" applyNumberFormat="1" applyFont="1" applyFill="1" applyBorder="1"/>
    <xf numFmtId="3" fontId="12" fillId="11" borderId="2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9" fontId="14" fillId="11" borderId="2" xfId="1" applyNumberFormat="1" applyFont="1" applyFill="1" applyBorder="1"/>
    <xf numFmtId="0" fontId="14" fillId="11" borderId="2" xfId="0" applyFont="1" applyFill="1" applyBorder="1" applyAlignment="1">
      <alignment horizontal="right" wrapText="1"/>
    </xf>
    <xf numFmtId="0" fontId="12" fillId="9" borderId="2" xfId="0" applyFont="1" applyFill="1" applyBorder="1"/>
    <xf numFmtId="0" fontId="0" fillId="0" borderId="2" xfId="0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2" xfId="0" applyFont="1" applyBorder="1"/>
    <xf numFmtId="0" fontId="19" fillId="0" borderId="0" xfId="0" applyFont="1"/>
    <xf numFmtId="0" fontId="19" fillId="0" borderId="1" xfId="0" applyFont="1" applyBorder="1" applyAlignment="1">
      <alignment horizontal="center"/>
    </xf>
    <xf numFmtId="4" fontId="20" fillId="0" borderId="1" xfId="0" applyNumberFormat="1" applyFont="1" applyBorder="1"/>
    <xf numFmtId="1" fontId="19" fillId="0" borderId="1" xfId="0" applyNumberFormat="1" applyFont="1" applyBorder="1"/>
    <xf numFmtId="1" fontId="11" fillId="9" borderId="2" xfId="0" applyNumberFormat="1" applyFont="1" applyFill="1" applyBorder="1" applyAlignment="1">
      <alignment horizontal="left"/>
    </xf>
    <xf numFmtId="1" fontId="12" fillId="9" borderId="2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3" fontId="12" fillId="9" borderId="2" xfId="0" applyNumberFormat="1" applyFont="1" applyFill="1" applyBorder="1" applyAlignment="1">
      <alignment horizontal="center"/>
    </xf>
    <xf numFmtId="3" fontId="12" fillId="9" borderId="2" xfId="1" applyNumberFormat="1" applyFont="1" applyFill="1" applyBorder="1" applyAlignment="1">
      <alignment horizontal="center"/>
    </xf>
    <xf numFmtId="3" fontId="16" fillId="9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2" fillId="13" borderId="2" xfId="0" applyNumberFormat="1" applyFont="1" applyFill="1" applyBorder="1"/>
    <xf numFmtId="9" fontId="3" fillId="0" borderId="0" xfId="1" applyFont="1" applyAlignment="1">
      <alignment horizontal="right"/>
    </xf>
    <xf numFmtId="0" fontId="21" fillId="0" borderId="1" xfId="0" applyFont="1" applyBorder="1" applyAlignment="1">
      <alignment horizontal="left"/>
    </xf>
    <xf numFmtId="1" fontId="22" fillId="0" borderId="1" xfId="0" applyNumberFormat="1" applyFont="1" applyBorder="1"/>
    <xf numFmtId="1" fontId="21" fillId="0" borderId="1" xfId="0" applyNumberFormat="1" applyFont="1" applyBorder="1"/>
    <xf numFmtId="0" fontId="10" fillId="0" borderId="0" xfId="0" applyFont="1" applyBorder="1"/>
    <xf numFmtId="1" fontId="0" fillId="0" borderId="0" xfId="0" applyNumberFormat="1" applyBorder="1"/>
    <xf numFmtId="0" fontId="19" fillId="0" borderId="5" xfId="0" applyFont="1" applyBorder="1" applyAlignment="1">
      <alignment horizontal="center"/>
    </xf>
    <xf numFmtId="0" fontId="19" fillId="10" borderId="2" xfId="0" applyFont="1" applyFill="1" applyBorder="1" applyAlignment="1">
      <alignment horizontal="right"/>
    </xf>
    <xf numFmtId="0" fontId="19" fillId="8" borderId="6" xfId="0" applyFont="1" applyFill="1" applyBorder="1" applyAlignment="1">
      <alignment vertical="center" wrapText="1"/>
    </xf>
    <xf numFmtId="0" fontId="23" fillId="9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left"/>
    </xf>
    <xf numFmtId="0" fontId="0" fillId="9" borderId="8" xfId="0" applyFont="1" applyFill="1" applyBorder="1"/>
    <xf numFmtId="0" fontId="0" fillId="9" borderId="12" xfId="0" applyFont="1" applyFill="1" applyBorder="1"/>
    <xf numFmtId="0" fontId="0" fillId="9" borderId="7" xfId="0" applyFont="1" applyFill="1" applyBorder="1"/>
    <xf numFmtId="0" fontId="10" fillId="0" borderId="11" xfId="0" applyFont="1" applyBorder="1" applyAlignment="1">
      <alignment horizontal="right"/>
    </xf>
    <xf numFmtId="0" fontId="10" fillId="9" borderId="11" xfId="0" applyFont="1" applyFill="1" applyBorder="1" applyAlignment="1">
      <alignment horizontal="right"/>
    </xf>
    <xf numFmtId="0" fontId="10" fillId="9" borderId="0" xfId="0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left"/>
    </xf>
    <xf numFmtId="1" fontId="0" fillId="9" borderId="0" xfId="0" applyNumberFormat="1" applyFont="1" applyFill="1" applyBorder="1" applyAlignment="1">
      <alignment horizontal="center"/>
    </xf>
    <xf numFmtId="0" fontId="0" fillId="9" borderId="10" xfId="0" applyFont="1" applyFill="1" applyBorder="1"/>
    <xf numFmtId="3" fontId="0" fillId="9" borderId="9" xfId="0" applyNumberFormat="1" applyFont="1" applyFill="1" applyBorder="1" applyAlignment="1">
      <alignment horizontal="right"/>
    </xf>
    <xf numFmtId="9" fontId="0" fillId="0" borderId="11" xfId="1" applyFont="1" applyBorder="1" applyAlignment="1">
      <alignment horizontal="right"/>
    </xf>
    <xf numFmtId="3" fontId="0" fillId="9" borderId="11" xfId="0" applyNumberFormat="1" applyFont="1" applyFill="1" applyBorder="1" applyAlignment="1">
      <alignment horizontal="right"/>
    </xf>
    <xf numFmtId="3" fontId="0" fillId="9" borderId="7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1" fillId="9" borderId="0" xfId="0" applyFont="1" applyFill="1" applyBorder="1"/>
    <xf numFmtId="0" fontId="15" fillId="11" borderId="2" xfId="0" applyFont="1" applyFill="1" applyBorder="1" applyAlignment="1">
      <alignment horizontal="right" wrapText="1"/>
    </xf>
    <xf numFmtId="165" fontId="15" fillId="9" borderId="2" xfId="0" applyNumberFormat="1" applyFont="1" applyFill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5" fillId="11" borderId="2" xfId="0" applyNumberFormat="1" applyFont="1" applyFill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9" fontId="15" fillId="11" borderId="2" xfId="1" applyNumberFormat="1" applyFont="1" applyFill="1" applyBorder="1" applyAlignment="1">
      <alignment horizontal="center"/>
    </xf>
    <xf numFmtId="3" fontId="15" fillId="11" borderId="2" xfId="0" applyNumberFormat="1" applyFont="1" applyFill="1" applyBorder="1" applyAlignment="1">
      <alignment horizontal="center"/>
    </xf>
    <xf numFmtId="3" fontId="11" fillId="11" borderId="2" xfId="0" applyNumberFormat="1" applyFont="1" applyFill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" fontId="16" fillId="9" borderId="2" xfId="0" applyNumberFormat="1" applyFont="1" applyFill="1" applyBorder="1" applyAlignment="1">
      <alignment horizontal="left"/>
    </xf>
    <xf numFmtId="0" fontId="11" fillId="9" borderId="2" xfId="0" applyFont="1" applyFill="1" applyBorder="1" applyAlignment="1">
      <alignment horizontal="right"/>
    </xf>
    <xf numFmtId="3" fontId="11" fillId="9" borderId="2" xfId="0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2" fillId="3" borderId="1" xfId="0" applyFont="1" applyFill="1" applyBorder="1"/>
    <xf numFmtId="0" fontId="19" fillId="6" borderId="0" xfId="0" applyFont="1" applyFill="1" applyBorder="1"/>
    <xf numFmtId="0" fontId="19" fillId="8" borderId="6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7" fillId="9" borderId="2" xfId="0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/>
    </xf>
    <xf numFmtId="14" fontId="19" fillId="5" borderId="2" xfId="0" applyNumberFormat="1" applyFont="1" applyFill="1" applyBorder="1"/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12" borderId="2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10" borderId="2" xfId="0" applyFont="1" applyFill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9" fillId="9" borderId="6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right"/>
    </xf>
    <xf numFmtId="0" fontId="17" fillId="0" borderId="2" xfId="0" applyNumberFormat="1" applyFont="1" applyBorder="1" applyAlignment="1">
      <alignment horizontal="right"/>
    </xf>
    <xf numFmtId="0" fontId="0" fillId="9" borderId="2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9" borderId="0" xfId="0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10" fillId="5" borderId="2" xfId="0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7" fillId="5" borderId="2" xfId="0" applyNumberFormat="1" applyFont="1" applyFill="1" applyBorder="1" applyAlignment="1">
      <alignment horizontal="center"/>
    </xf>
    <xf numFmtId="9" fontId="0" fillId="9" borderId="7" xfId="1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9" borderId="0" xfId="0" applyFont="1" applyFill="1" applyBorder="1"/>
    <xf numFmtId="0" fontId="17" fillId="9" borderId="0" xfId="0" applyFont="1" applyFill="1" applyBorder="1"/>
    <xf numFmtId="1" fontId="3" fillId="14" borderId="5" xfId="0" applyNumberFormat="1" applyFont="1" applyFill="1" applyBorder="1"/>
    <xf numFmtId="0" fontId="3" fillId="15" borderId="1" xfId="0" applyFont="1" applyFill="1" applyBorder="1"/>
    <xf numFmtId="0" fontId="3" fillId="14" borderId="1" xfId="0" applyFont="1" applyFill="1" applyBorder="1"/>
    <xf numFmtId="0" fontId="18" fillId="3" borderId="0" xfId="3" applyFont="1" applyFill="1" applyAlignment="1">
      <alignment horizontal="right"/>
    </xf>
    <xf numFmtId="0" fontId="1" fillId="0" borderId="0" xfId="3" applyAlignment="1">
      <alignment horizontal="center"/>
    </xf>
    <xf numFmtId="0" fontId="1" fillId="0" borderId="0" xfId="3"/>
    <xf numFmtId="0" fontId="18" fillId="0" borderId="2" xfId="3" applyFont="1" applyBorder="1" applyAlignment="1">
      <alignment horizontal="right"/>
    </xf>
    <xf numFmtId="3" fontId="27" fillId="16" borderId="2" xfId="3" applyNumberFormat="1" applyFont="1" applyFill="1" applyBorder="1" applyAlignment="1">
      <alignment horizontal="center"/>
    </xf>
    <xf numFmtId="0" fontId="28" fillId="11" borderId="2" xfId="3" applyFont="1" applyFill="1" applyBorder="1" applyAlignment="1">
      <alignment horizontal="center"/>
    </xf>
    <xf numFmtId="0" fontId="18" fillId="0" borderId="7" xfId="3" applyFont="1" applyBorder="1" applyAlignment="1">
      <alignment horizontal="center"/>
    </xf>
    <xf numFmtId="9" fontId="27" fillId="16" borderId="2" xfId="3" applyNumberFormat="1" applyFont="1" applyFill="1" applyBorder="1" applyAlignment="1">
      <alignment horizontal="center"/>
    </xf>
    <xf numFmtId="0" fontId="18" fillId="0" borderId="14" xfId="3" applyFont="1" applyBorder="1" applyAlignment="1">
      <alignment horizontal="right"/>
    </xf>
    <xf numFmtId="0" fontId="27" fillId="16" borderId="2" xfId="3" applyFont="1" applyFill="1" applyBorder="1" applyAlignment="1">
      <alignment horizontal="center"/>
    </xf>
    <xf numFmtId="0" fontId="27" fillId="0" borderId="0" xfId="3" applyFont="1" applyBorder="1"/>
    <xf numFmtId="0" fontId="18" fillId="0" borderId="15" xfId="3" applyFont="1" applyBorder="1" applyAlignment="1">
      <alignment horizontal="right"/>
    </xf>
    <xf numFmtId="0" fontId="27" fillId="9" borderId="0" xfId="3" applyFont="1" applyFill="1" applyBorder="1" applyAlignment="1">
      <alignment horizontal="center"/>
    </xf>
    <xf numFmtId="0" fontId="28" fillId="9" borderId="0" xfId="3" applyFont="1" applyFill="1" applyBorder="1" applyAlignment="1">
      <alignment horizontal="center"/>
    </xf>
    <xf numFmtId="0" fontId="18" fillId="9" borderId="2" xfId="3" applyFont="1" applyFill="1" applyBorder="1" applyAlignment="1">
      <alignment horizontal="right"/>
    </xf>
    <xf numFmtId="166" fontId="27" fillId="3" borderId="2" xfId="4" applyNumberFormat="1" applyFont="1" applyFill="1" applyBorder="1" applyAlignment="1"/>
    <xf numFmtId="0" fontId="28" fillId="3" borderId="2" xfId="3" applyFont="1" applyFill="1" applyBorder="1" applyAlignment="1">
      <alignment horizontal="center"/>
    </xf>
    <xf numFmtId="0" fontId="18" fillId="0" borderId="2" xfId="3" applyFont="1" applyFill="1" applyBorder="1" applyAlignment="1">
      <alignment horizontal="right"/>
    </xf>
    <xf numFmtId="10" fontId="27" fillId="16" borderId="2" xfId="3" applyNumberFormat="1" applyFont="1" applyFill="1" applyBorder="1" applyAlignment="1">
      <alignment horizontal="center"/>
    </xf>
    <xf numFmtId="0" fontId="27" fillId="0" borderId="2" xfId="3" applyFont="1" applyBorder="1" applyAlignment="1">
      <alignment horizontal="left"/>
    </xf>
    <xf numFmtId="0" fontId="27" fillId="0" borderId="0" xfId="3" applyFont="1"/>
    <xf numFmtId="0" fontId="28" fillId="0" borderId="2" xfId="3" applyFont="1" applyBorder="1" applyAlignment="1">
      <alignment horizontal="right"/>
    </xf>
    <xf numFmtId="0" fontId="18" fillId="0" borderId="2" xfId="3" applyFont="1" applyBorder="1" applyAlignment="1">
      <alignment horizontal="center"/>
    </xf>
    <xf numFmtId="0" fontId="28" fillId="0" borderId="2" xfId="3" applyFont="1" applyBorder="1" applyAlignment="1"/>
    <xf numFmtId="9" fontId="14" fillId="17" borderId="2" xfId="3" applyNumberFormat="1" applyFont="1" applyFill="1" applyBorder="1" applyAlignment="1">
      <alignment horizontal="center"/>
    </xf>
    <xf numFmtId="9" fontId="14" fillId="18" borderId="2" xfId="3" applyNumberFormat="1" applyFont="1" applyFill="1" applyBorder="1" applyAlignment="1">
      <alignment horizontal="center"/>
    </xf>
    <xf numFmtId="9" fontId="14" fillId="19" borderId="2" xfId="3" applyNumberFormat="1" applyFont="1" applyFill="1" applyBorder="1" applyAlignment="1">
      <alignment horizontal="center"/>
    </xf>
    <xf numFmtId="0" fontId="28" fillId="0" borderId="0" xfId="3" applyFont="1" applyAlignment="1">
      <alignment horizontal="right"/>
    </xf>
    <xf numFmtId="0" fontId="27" fillId="0" borderId="0" xfId="3" applyFont="1" applyAlignment="1">
      <alignment horizontal="center"/>
    </xf>
    <xf numFmtId="0" fontId="27" fillId="0" borderId="0" xfId="3" applyFont="1" applyAlignment="1">
      <alignment horizontal="left"/>
    </xf>
    <xf numFmtId="2" fontId="27" fillId="16" borderId="2" xfId="3" applyNumberFormat="1" applyFont="1" applyFill="1" applyBorder="1" applyAlignment="1">
      <alignment horizontal="center"/>
    </xf>
    <xf numFmtId="0" fontId="28" fillId="11" borderId="2" xfId="3" applyFont="1" applyFill="1" applyBorder="1" applyAlignment="1">
      <alignment horizontal="left"/>
    </xf>
    <xf numFmtId="0" fontId="27" fillId="11" borderId="2" xfId="3" applyFont="1" applyFill="1" applyBorder="1"/>
    <xf numFmtId="0" fontId="27" fillId="0" borderId="0" xfId="3" applyFont="1" applyAlignment="1">
      <alignment horizontal="right"/>
    </xf>
    <xf numFmtId="0" fontId="0" fillId="20" borderId="0" xfId="0" applyFont="1" applyFill="1"/>
    <xf numFmtId="0" fontId="0" fillId="20" borderId="0" xfId="0" applyFont="1" applyFill="1" applyAlignment="1">
      <alignment horizontal="right"/>
    </xf>
    <xf numFmtId="166" fontId="0" fillId="20" borderId="0" xfId="2" applyNumberFormat="1" applyFont="1" applyFill="1"/>
    <xf numFmtId="0" fontId="10" fillId="20" borderId="0" xfId="0" applyFont="1" applyFill="1"/>
    <xf numFmtId="166" fontId="10" fillId="20" borderId="0" xfId="2" applyNumberFormat="1" applyFont="1" applyFill="1"/>
    <xf numFmtId="0" fontId="29" fillId="0" borderId="0" xfId="3" applyFont="1"/>
    <xf numFmtId="0" fontId="29" fillId="0" borderId="0" xfId="3" applyFont="1" applyBorder="1"/>
    <xf numFmtId="0" fontId="30" fillId="0" borderId="7" xfId="3" applyFont="1" applyBorder="1"/>
    <xf numFmtId="166" fontId="30" fillId="0" borderId="12" xfId="4" applyNumberFormat="1" applyFont="1" applyBorder="1" applyAlignment="1"/>
    <xf numFmtId="0" fontId="31" fillId="0" borderId="2" xfId="3" applyFont="1" applyBorder="1" applyAlignment="1">
      <alignment horizontal="right"/>
    </xf>
    <xf numFmtId="0" fontId="30" fillId="0" borderId="12" xfId="3" applyFont="1" applyBorder="1"/>
    <xf numFmtId="0" fontId="30" fillId="0" borderId="11" xfId="3" applyFont="1" applyBorder="1"/>
    <xf numFmtId="0" fontId="30" fillId="0" borderId="0" xfId="3" applyFont="1"/>
    <xf numFmtId="10" fontId="30" fillId="0" borderId="12" xfId="5" applyNumberFormat="1" applyFont="1" applyBorder="1"/>
    <xf numFmtId="0" fontId="31" fillId="0" borderId="12" xfId="3" applyFont="1" applyBorder="1"/>
    <xf numFmtId="0" fontId="30" fillId="0" borderId="8" xfId="3" applyFont="1" applyBorder="1"/>
    <xf numFmtId="166" fontId="30" fillId="0" borderId="0" xfId="4" applyNumberFormat="1" applyFont="1" applyBorder="1" applyAlignment="1"/>
    <xf numFmtId="0" fontId="31" fillId="0" borderId="16" xfId="3" applyFont="1" applyBorder="1" applyAlignment="1">
      <alignment horizontal="right"/>
    </xf>
    <xf numFmtId="0" fontId="30" fillId="0" borderId="0" xfId="3" applyFont="1" applyBorder="1"/>
    <xf numFmtId="0" fontId="30" fillId="0" borderId="15" xfId="3" applyFont="1" applyBorder="1"/>
    <xf numFmtId="166" fontId="30" fillId="0" borderId="12" xfId="4" applyNumberFormat="1" applyFont="1" applyBorder="1"/>
    <xf numFmtId="0" fontId="30" fillId="0" borderId="7" xfId="3" applyFont="1" applyBorder="1" applyAlignment="1">
      <alignment horizontal="left"/>
    </xf>
    <xf numFmtId="166" fontId="30" fillId="0" borderId="0" xfId="4" applyNumberFormat="1" applyFont="1" applyBorder="1"/>
    <xf numFmtId="0" fontId="31" fillId="0" borderId="0" xfId="3" applyFont="1" applyBorder="1"/>
    <xf numFmtId="0" fontId="30" fillId="0" borderId="17" xfId="3" applyFont="1" applyBorder="1"/>
    <xf numFmtId="0" fontId="30" fillId="0" borderId="18" xfId="3" applyFont="1" applyBorder="1" applyAlignment="1"/>
    <xf numFmtId="0" fontId="31" fillId="0" borderId="19" xfId="3" applyFont="1" applyBorder="1" applyAlignment="1">
      <alignment horizontal="right"/>
    </xf>
    <xf numFmtId="0" fontId="30" fillId="0" borderId="18" xfId="3" applyFont="1" applyBorder="1"/>
    <xf numFmtId="0" fontId="30" fillId="0" borderId="20" xfId="3" applyFont="1" applyBorder="1"/>
    <xf numFmtId="14" fontId="32" fillId="0" borderId="0" xfId="3" applyNumberFormat="1" applyFont="1"/>
    <xf numFmtId="0" fontId="30" fillId="0" borderId="0" xfId="3" applyFont="1" applyAlignment="1">
      <alignment horizontal="center"/>
    </xf>
    <xf numFmtId="9" fontId="30" fillId="0" borderId="0" xfId="3" applyNumberFormat="1" applyFont="1" applyAlignment="1">
      <alignment horizontal="center"/>
    </xf>
    <xf numFmtId="9" fontId="30" fillId="0" borderId="0" xfId="3" applyNumberFormat="1" applyFont="1" applyAlignment="1">
      <alignment horizontal="right"/>
    </xf>
    <xf numFmtId="0" fontId="26" fillId="0" borderId="0" xfId="3" applyFont="1"/>
    <xf numFmtId="1" fontId="30" fillId="19" borderId="2" xfId="3" applyNumberFormat="1" applyFont="1" applyFill="1" applyBorder="1"/>
    <xf numFmtId="1" fontId="31" fillId="19" borderId="2" xfId="3" applyNumberFormat="1" applyFont="1" applyFill="1" applyBorder="1"/>
    <xf numFmtId="0" fontId="31" fillId="19" borderId="2" xfId="3" applyFont="1" applyFill="1" applyBorder="1"/>
    <xf numFmtId="0" fontId="30" fillId="0" borderId="2" xfId="3" applyFont="1" applyBorder="1" applyAlignment="1">
      <alignment horizontal="center"/>
    </xf>
    <xf numFmtId="1" fontId="30" fillId="5" borderId="2" xfId="3" applyNumberFormat="1" applyFont="1" applyFill="1" applyBorder="1"/>
    <xf numFmtId="1" fontId="31" fillId="5" borderId="2" xfId="3" applyNumberFormat="1" applyFont="1" applyFill="1" applyBorder="1"/>
    <xf numFmtId="0" fontId="31" fillId="5" borderId="2" xfId="3" applyFont="1" applyFill="1" applyBorder="1"/>
    <xf numFmtId="1" fontId="30" fillId="0" borderId="8" xfId="3" applyNumberFormat="1" applyFont="1" applyBorder="1"/>
    <xf numFmtId="1" fontId="30" fillId="0" borderId="0" xfId="3" applyNumberFormat="1" applyFont="1" applyBorder="1"/>
    <xf numFmtId="1" fontId="31" fillId="0" borderId="0" xfId="3" applyNumberFormat="1" applyFont="1" applyBorder="1"/>
    <xf numFmtId="0" fontId="31" fillId="0" borderId="15" xfId="3" applyFont="1" applyBorder="1"/>
    <xf numFmtId="1" fontId="30" fillId="21" borderId="2" xfId="3" applyNumberFormat="1" applyFont="1" applyFill="1" applyBorder="1"/>
    <xf numFmtId="1" fontId="31" fillId="21" borderId="2" xfId="3" applyNumberFormat="1" applyFont="1" applyFill="1" applyBorder="1"/>
    <xf numFmtId="0" fontId="31" fillId="21" borderId="2" xfId="3" applyFont="1" applyFill="1" applyBorder="1"/>
    <xf numFmtId="1" fontId="30" fillId="22" borderId="2" xfId="3" applyNumberFormat="1" applyFont="1" applyFill="1" applyBorder="1"/>
    <xf numFmtId="1" fontId="31" fillId="22" borderId="2" xfId="3" applyNumberFormat="1" applyFont="1" applyFill="1" applyBorder="1"/>
    <xf numFmtId="0" fontId="31" fillId="22" borderId="2" xfId="3" applyFont="1" applyFill="1" applyBorder="1"/>
    <xf numFmtId="0" fontId="31" fillId="22" borderId="2" xfId="3" applyFont="1" applyFill="1" applyBorder="1" applyAlignment="1">
      <alignment horizontal="left"/>
    </xf>
    <xf numFmtId="0" fontId="31" fillId="21" borderId="2" xfId="3" applyFont="1" applyFill="1" applyBorder="1" applyAlignment="1">
      <alignment horizontal="left"/>
    </xf>
    <xf numFmtId="0" fontId="30" fillId="10" borderId="2" xfId="3" applyFont="1" applyFill="1" applyBorder="1"/>
    <xf numFmtId="0" fontId="31" fillId="10" borderId="2" xfId="3" applyFont="1" applyFill="1" applyBorder="1"/>
    <xf numFmtId="0" fontId="31" fillId="0" borderId="2" xfId="3" applyFont="1" applyBorder="1"/>
    <xf numFmtId="0" fontId="33" fillId="0" borderId="0" xfId="3" applyFont="1"/>
    <xf numFmtId="0" fontId="34" fillId="0" borderId="0" xfId="9"/>
    <xf numFmtId="0" fontId="28" fillId="0" borderId="0" xfId="9" applyFont="1"/>
    <xf numFmtId="0" fontId="28" fillId="0" borderId="7" xfId="9" applyFont="1" applyBorder="1" applyAlignment="1">
      <alignment horizontal="right"/>
    </xf>
    <xf numFmtId="0" fontId="28" fillId="0" borderId="12" xfId="9" applyFont="1" applyBorder="1" applyAlignment="1">
      <alignment horizontal="left"/>
    </xf>
    <xf numFmtId="4" fontId="28" fillId="0" borderId="11" xfId="9" applyNumberFormat="1" applyFont="1" applyBorder="1" applyAlignment="1">
      <alignment horizontal="right"/>
    </xf>
    <xf numFmtId="0" fontId="18" fillId="0" borderId="7" xfId="9" applyFont="1" applyBorder="1" applyAlignment="1">
      <alignment horizontal="right"/>
    </xf>
    <xf numFmtId="0" fontId="34" fillId="0" borderId="12" xfId="9" applyBorder="1"/>
    <xf numFmtId="0" fontId="34" fillId="0" borderId="11" xfId="9" applyBorder="1"/>
    <xf numFmtId="0" fontId="28" fillId="0" borderId="0" xfId="9" applyFont="1" applyBorder="1"/>
    <xf numFmtId="0" fontId="28" fillId="9" borderId="0" xfId="9" applyFont="1" applyFill="1" applyBorder="1"/>
    <xf numFmtId="3" fontId="28" fillId="9" borderId="0" xfId="9" applyNumberFormat="1" applyFont="1" applyFill="1" applyBorder="1"/>
    <xf numFmtId="0" fontId="34" fillId="9" borderId="0" xfId="9" applyFill="1" applyBorder="1"/>
    <xf numFmtId="0" fontId="28" fillId="0" borderId="2" xfId="9" applyFont="1" applyBorder="1"/>
    <xf numFmtId="0" fontId="28" fillId="9" borderId="7" xfId="9" applyFont="1" applyFill="1" applyBorder="1"/>
    <xf numFmtId="3" fontId="28" fillId="9" borderId="14" xfId="9" applyNumberFormat="1" applyFont="1" applyFill="1" applyBorder="1"/>
    <xf numFmtId="0" fontId="18" fillId="9" borderId="7" xfId="9" applyFont="1" applyFill="1" applyBorder="1" applyAlignment="1">
      <alignment horizontal="right"/>
    </xf>
    <xf numFmtId="0" fontId="18" fillId="9" borderId="12" xfId="9" applyFont="1" applyFill="1" applyBorder="1"/>
    <xf numFmtId="0" fontId="34" fillId="9" borderId="11" xfId="9" applyFill="1" applyBorder="1"/>
    <xf numFmtId="9" fontId="28" fillId="0" borderId="10" xfId="9" applyNumberFormat="1" applyFont="1" applyBorder="1"/>
    <xf numFmtId="3" fontId="28" fillId="9" borderId="11" xfId="9" applyNumberFormat="1" applyFont="1" applyFill="1" applyBorder="1"/>
    <xf numFmtId="0" fontId="18" fillId="9" borderId="18" xfId="9" applyFont="1" applyFill="1" applyBorder="1" applyAlignment="1">
      <alignment horizontal="right"/>
    </xf>
    <xf numFmtId="0" fontId="28" fillId="9" borderId="18" xfId="9" applyFont="1" applyFill="1" applyBorder="1"/>
    <xf numFmtId="0" fontId="34" fillId="9" borderId="20" xfId="9" applyFill="1" applyBorder="1"/>
    <xf numFmtId="0" fontId="28" fillId="0" borderId="7" xfId="9" applyFont="1" applyBorder="1"/>
    <xf numFmtId="0" fontId="28" fillId="9" borderId="12" xfId="9" applyFont="1" applyFill="1" applyBorder="1"/>
    <xf numFmtId="3" fontId="18" fillId="9" borderId="11" xfId="9" applyNumberFormat="1" applyFont="1" applyFill="1" applyBorder="1"/>
    <xf numFmtId="0" fontId="18" fillId="9" borderId="9" xfId="9" applyFont="1" applyFill="1" applyBorder="1" applyAlignment="1">
      <alignment horizontal="right"/>
    </xf>
    <xf numFmtId="0" fontId="28" fillId="9" borderId="16" xfId="9" applyFont="1" applyFill="1" applyBorder="1"/>
    <xf numFmtId="0" fontId="28" fillId="9" borderId="8" xfId="9" applyFont="1" applyFill="1" applyBorder="1"/>
    <xf numFmtId="0" fontId="34" fillId="9" borderId="15" xfId="9" applyFill="1" applyBorder="1"/>
    <xf numFmtId="0" fontId="28" fillId="0" borderId="19" xfId="9" applyFont="1" applyBorder="1"/>
    <xf numFmtId="0" fontId="28" fillId="9" borderId="19" xfId="9" applyFont="1" applyFill="1" applyBorder="1"/>
    <xf numFmtId="9" fontId="28" fillId="9" borderId="19" xfId="10" applyFont="1" applyFill="1" applyBorder="1"/>
    <xf numFmtId="0" fontId="28" fillId="0" borderId="14" xfId="9" applyFont="1" applyBorder="1" applyAlignment="1">
      <alignment horizontal="right"/>
    </xf>
    <xf numFmtId="0" fontId="28" fillId="3" borderId="14" xfId="9" applyFont="1" applyFill="1" applyBorder="1"/>
    <xf numFmtId="169" fontId="18" fillId="3" borderId="14" xfId="10" applyNumberFormat="1" applyFont="1" applyFill="1" applyBorder="1" applyAlignment="1">
      <alignment horizontal="right"/>
    </xf>
    <xf numFmtId="0" fontId="18" fillId="3" borderId="16" xfId="9" applyFont="1" applyFill="1" applyBorder="1" applyAlignment="1">
      <alignment horizontal="right"/>
    </xf>
    <xf numFmtId="0" fontId="28" fillId="3" borderId="16" xfId="9" applyFont="1" applyFill="1" applyBorder="1"/>
    <xf numFmtId="0" fontId="34" fillId="3" borderId="16" xfId="9" applyFill="1" applyBorder="1"/>
    <xf numFmtId="0" fontId="28" fillId="0" borderId="12" xfId="9" applyFont="1" applyBorder="1"/>
    <xf numFmtId="170" fontId="28" fillId="0" borderId="11" xfId="9" applyNumberFormat="1" applyFont="1" applyBorder="1" applyAlignment="1">
      <alignment horizontal="right"/>
    </xf>
    <xf numFmtId="0" fontId="18" fillId="0" borderId="11" xfId="9" applyFont="1" applyBorder="1" applyAlignment="1">
      <alignment horizontal="right"/>
    </xf>
    <xf numFmtId="14" fontId="28" fillId="0" borderId="0" xfId="9" applyNumberFormat="1" applyFont="1" applyAlignment="1">
      <alignment horizontal="center"/>
    </xf>
    <xf numFmtId="0" fontId="18" fillId="0" borderId="0" xfId="9" applyFont="1" applyAlignment="1">
      <alignment horizontal="right"/>
    </xf>
    <xf numFmtId="0" fontId="28" fillId="0" borderId="0" xfId="9" applyFont="1" applyAlignment="1">
      <alignment horizontal="left"/>
    </xf>
    <xf numFmtId="0" fontId="18" fillId="0" borderId="0" xfId="9" applyFont="1" applyAlignment="1">
      <alignment horizontal="center"/>
    </xf>
    <xf numFmtId="0" fontId="18" fillId="0" borderId="0" xfId="9" applyFont="1"/>
    <xf numFmtId="9" fontId="28" fillId="23" borderId="2" xfId="10" applyFont="1" applyFill="1" applyBorder="1" applyAlignment="1">
      <alignment horizontal="right"/>
    </xf>
    <xf numFmtId="9" fontId="28" fillId="18" borderId="2" xfId="10" applyFont="1" applyFill="1" applyBorder="1" applyAlignment="1">
      <alignment horizontal="right"/>
    </xf>
    <xf numFmtId="9" fontId="28" fillId="24" borderId="2" xfId="10" applyFont="1" applyFill="1" applyBorder="1" applyAlignment="1">
      <alignment horizontal="right"/>
    </xf>
    <xf numFmtId="0" fontId="18" fillId="0" borderId="2" xfId="9" applyFont="1" applyBorder="1" applyAlignment="1">
      <alignment horizontal="right"/>
    </xf>
    <xf numFmtId="0" fontId="34" fillId="0" borderId="2" xfId="9" applyBorder="1"/>
    <xf numFmtId="0" fontId="34" fillId="0" borderId="0" xfId="9" applyAlignment="1">
      <alignment vertical="center"/>
    </xf>
    <xf numFmtId="0" fontId="34" fillId="0" borderId="0" xfId="9" applyBorder="1" applyAlignment="1">
      <alignment vertical="center"/>
    </xf>
    <xf numFmtId="9" fontId="0" fillId="0" borderId="0" xfId="10" applyFont="1" applyAlignment="1">
      <alignment vertical="center"/>
    </xf>
    <xf numFmtId="9" fontId="34" fillId="0" borderId="0" xfId="10" applyFont="1" applyAlignment="1">
      <alignment vertical="center"/>
    </xf>
    <xf numFmtId="0" fontId="34" fillId="0" borderId="0" xfId="9" applyFont="1" applyAlignment="1">
      <alignment vertical="center"/>
    </xf>
    <xf numFmtId="0" fontId="34" fillId="0" borderId="0" xfId="9" applyFont="1" applyBorder="1" applyAlignment="1">
      <alignment vertical="center"/>
    </xf>
    <xf numFmtId="169" fontId="34" fillId="0" borderId="0" xfId="10" applyNumberFormat="1" applyFont="1" applyAlignment="1">
      <alignment horizontal="left" vertical="center"/>
    </xf>
    <xf numFmtId="0" fontId="34" fillId="0" borderId="0" xfId="9" applyFont="1" applyAlignment="1">
      <alignment horizontal="right" vertical="center"/>
    </xf>
    <xf numFmtId="170" fontId="34" fillId="0" borderId="0" xfId="9" applyNumberFormat="1" applyFont="1" applyAlignment="1">
      <alignment horizontal="left" vertical="center"/>
    </xf>
    <xf numFmtId="169" fontId="34" fillId="0" borderId="0" xfId="10" applyNumberFormat="1" applyFont="1" applyAlignment="1">
      <alignment vertical="center"/>
    </xf>
    <xf numFmtId="2" fontId="34" fillId="0" borderId="0" xfId="9" applyNumberFormat="1" applyFont="1" applyBorder="1" applyAlignment="1">
      <alignment vertical="center"/>
    </xf>
    <xf numFmtId="167" fontId="34" fillId="0" borderId="0" xfId="9" applyNumberFormat="1" applyFont="1" applyBorder="1" applyAlignment="1">
      <alignment vertical="center"/>
    </xf>
    <xf numFmtId="167" fontId="34" fillId="0" borderId="0" xfId="6" applyFont="1" applyBorder="1" applyAlignment="1">
      <alignment vertical="center"/>
    </xf>
    <xf numFmtId="167" fontId="34" fillId="0" borderId="0" xfId="9" applyNumberFormat="1" applyFont="1" applyAlignment="1">
      <alignment vertical="center"/>
    </xf>
    <xf numFmtId="169" fontId="34" fillId="0" borderId="21" xfId="9" applyNumberFormat="1" applyFont="1" applyBorder="1" applyAlignment="1">
      <alignment horizontal="center" vertical="center"/>
    </xf>
    <xf numFmtId="0" fontId="34" fillId="0" borderId="21" xfId="9" applyFont="1" applyBorder="1" applyAlignment="1">
      <alignment vertical="center"/>
    </xf>
    <xf numFmtId="9" fontId="34" fillId="0" borderId="0" xfId="9" applyNumberFormat="1" applyFont="1" applyBorder="1" applyAlignment="1">
      <alignment horizontal="center" vertical="center"/>
    </xf>
    <xf numFmtId="171" fontId="35" fillId="0" borderId="0" xfId="9" applyNumberFormat="1" applyFont="1" applyBorder="1" applyAlignment="1">
      <alignment horizontal="center" vertical="center"/>
    </xf>
    <xf numFmtId="9" fontId="34" fillId="0" borderId="21" xfId="9" applyNumberFormat="1" applyFont="1" applyBorder="1" applyAlignment="1">
      <alignment horizontal="center" vertical="center"/>
    </xf>
    <xf numFmtId="9" fontId="35" fillId="0" borderId="0" xfId="9" applyNumberFormat="1" applyFont="1" applyBorder="1" applyAlignment="1">
      <alignment horizontal="center" vertical="center"/>
    </xf>
    <xf numFmtId="166" fontId="35" fillId="0" borderId="0" xfId="7" applyNumberFormat="1" applyFont="1" applyBorder="1" applyAlignment="1">
      <alignment horizontal="center" vertical="center"/>
    </xf>
    <xf numFmtId="167" fontId="34" fillId="3" borderId="21" xfId="8" applyFont="1" applyFill="1" applyBorder="1" applyAlignment="1">
      <alignment horizontal="center" vertical="center"/>
    </xf>
    <xf numFmtId="168" fontId="35" fillId="0" borderId="0" xfId="7" applyFont="1" applyBorder="1" applyAlignment="1">
      <alignment horizontal="center" vertical="center"/>
    </xf>
    <xf numFmtId="9" fontId="34" fillId="0" borderId="0" xfId="10" applyFont="1" applyFill="1" applyBorder="1" applyAlignment="1">
      <alignment horizontal="center" vertical="center"/>
    </xf>
    <xf numFmtId="9" fontId="34" fillId="25" borderId="21" xfId="10" applyFont="1" applyFill="1" applyBorder="1" applyAlignment="1">
      <alignment horizontal="center" vertical="center"/>
    </xf>
    <xf numFmtId="9" fontId="36" fillId="26" borderId="21" xfId="10" applyFont="1" applyFill="1" applyBorder="1" applyAlignment="1">
      <alignment horizontal="center" vertical="center"/>
    </xf>
    <xf numFmtId="9" fontId="34" fillId="27" borderId="21" xfId="10" applyFont="1" applyFill="1" applyBorder="1" applyAlignment="1">
      <alignment horizontal="center" vertical="center"/>
    </xf>
    <xf numFmtId="9" fontId="34" fillId="3" borderId="21" xfId="10" applyFont="1" applyFill="1" applyBorder="1" applyAlignment="1">
      <alignment horizontal="center" vertical="center"/>
    </xf>
    <xf numFmtId="172" fontId="34" fillId="3" borderId="21" xfId="6" applyNumberFormat="1" applyFont="1" applyFill="1" applyBorder="1" applyAlignment="1">
      <alignment horizontal="center" vertical="center"/>
    </xf>
    <xf numFmtId="167" fontId="34" fillId="0" borderId="0" xfId="6" applyFont="1" applyBorder="1" applyAlignment="1">
      <alignment horizontal="center" vertical="center"/>
    </xf>
    <xf numFmtId="172" fontId="34" fillId="0" borderId="21" xfId="6" applyNumberFormat="1" applyFont="1" applyBorder="1" applyAlignment="1">
      <alignment horizontal="center" vertical="center"/>
    </xf>
    <xf numFmtId="14" fontId="37" fillId="0" borderId="0" xfId="9" applyNumberFormat="1" applyFont="1" applyAlignment="1">
      <alignment horizontal="left" vertical="center"/>
    </xf>
    <xf numFmtId="167" fontId="37" fillId="0" borderId="0" xfId="8" applyFont="1" applyAlignment="1">
      <alignment horizontal="left" vertical="center"/>
    </xf>
    <xf numFmtId="14" fontId="37" fillId="0" borderId="0" xfId="9" applyNumberFormat="1" applyFont="1" applyAlignment="1">
      <alignment horizontal="right" vertical="center"/>
    </xf>
    <xf numFmtId="14" fontId="37" fillId="0" borderId="0" xfId="9" applyNumberFormat="1" applyFont="1" applyAlignment="1">
      <alignment horizontal="center" vertical="center"/>
    </xf>
    <xf numFmtId="1" fontId="37" fillId="0" borderId="0" xfId="9" applyNumberFormat="1" applyFont="1" applyAlignment="1">
      <alignment horizontal="center" vertical="center"/>
    </xf>
    <xf numFmtId="0" fontId="38" fillId="0" borderId="0" xfId="9" applyFont="1" applyAlignment="1">
      <alignment vertical="center"/>
    </xf>
    <xf numFmtId="0" fontId="39" fillId="0" borderId="0" xfId="9" applyFont="1"/>
    <xf numFmtId="0" fontId="37" fillId="0" borderId="0" xfId="9" applyFont="1" applyAlignment="1">
      <alignment horizontal="center" vertical="center"/>
    </xf>
    <xf numFmtId="0" fontId="37" fillId="0" borderId="0" xfId="9" applyFont="1" applyBorder="1" applyAlignment="1">
      <alignment vertical="center"/>
    </xf>
    <xf numFmtId="0" fontId="37" fillId="0" borderId="0" xfId="9" applyFont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34" fillId="0" borderId="0" xfId="9" applyFont="1" applyBorder="1" applyAlignment="1">
      <alignment horizontal="center" vertical="center"/>
    </xf>
    <xf numFmtId="0" fontId="38" fillId="0" borderId="0" xfId="9" applyFont="1" applyAlignment="1">
      <alignment horizontal="left" vertical="center"/>
    </xf>
    <xf numFmtId="173" fontId="1" fillId="0" borderId="0" xfId="3" applyNumberFormat="1" applyAlignment="1">
      <alignment horizontal="center"/>
    </xf>
    <xf numFmtId="0" fontId="26" fillId="0" borderId="0" xfId="3" applyFont="1" applyAlignment="1">
      <alignment horizontal="center"/>
    </xf>
    <xf numFmtId="0" fontId="1" fillId="0" borderId="0" xfId="3" applyFont="1"/>
    <xf numFmtId="9" fontId="1" fillId="0" borderId="0" xfId="3" applyNumberFormat="1" applyAlignment="1">
      <alignment horizontal="center"/>
    </xf>
    <xf numFmtId="9" fontId="1" fillId="0" borderId="0" xfId="5" applyFont="1" applyAlignment="1">
      <alignment horizontal="center"/>
    </xf>
    <xf numFmtId="3" fontId="1" fillId="0" borderId="0" xfId="3" applyNumberFormat="1" applyAlignment="1">
      <alignment horizontal="center"/>
    </xf>
    <xf numFmtId="166" fontId="1" fillId="0" borderId="0" xfId="2" applyNumberFormat="1" applyFont="1" applyAlignment="1">
      <alignment horizontal="center"/>
    </xf>
    <xf numFmtId="166" fontId="1" fillId="19" borderId="2" xfId="3" applyNumberFormat="1" applyFill="1" applyBorder="1"/>
    <xf numFmtId="173" fontId="1" fillId="19" borderId="2" xfId="3" applyNumberFormat="1" applyFill="1" applyBorder="1" applyAlignment="1">
      <alignment horizontal="center"/>
    </xf>
    <xf numFmtId="166" fontId="1" fillId="19" borderId="2" xfId="3" applyNumberFormat="1" applyFont="1" applyFill="1" applyBorder="1"/>
    <xf numFmtId="166" fontId="1" fillId="19" borderId="2" xfId="4" applyNumberFormat="1" applyFont="1" applyFill="1" applyBorder="1"/>
    <xf numFmtId="0" fontId="1" fillId="0" borderId="2" xfId="3" applyBorder="1"/>
    <xf numFmtId="0" fontId="26" fillId="0" borderId="2" xfId="3" applyFont="1" applyBorder="1"/>
    <xf numFmtId="0" fontId="26" fillId="0" borderId="2" xfId="3" applyFont="1" applyBorder="1" applyAlignment="1">
      <alignment horizontal="center"/>
    </xf>
    <xf numFmtId="0" fontId="26" fillId="9" borderId="0" xfId="3" applyFont="1" applyFill="1"/>
    <xf numFmtId="0" fontId="26" fillId="9" borderId="2" xfId="3" applyFont="1" applyFill="1" applyBorder="1"/>
    <xf numFmtId="0" fontId="26" fillId="9" borderId="2" xfId="3" applyFont="1" applyFill="1" applyBorder="1" applyAlignment="1">
      <alignment horizontal="center"/>
    </xf>
    <xf numFmtId="166" fontId="1" fillId="0" borderId="0" xfId="4" applyNumberFormat="1" applyFont="1"/>
    <xf numFmtId="166" fontId="26" fillId="28" borderId="2" xfId="4" applyNumberFormat="1" applyFont="1" applyFill="1" applyBorder="1"/>
    <xf numFmtId="166" fontId="1" fillId="0" borderId="2" xfId="4" applyNumberFormat="1" applyFont="1" applyBorder="1"/>
    <xf numFmtId="9" fontId="40" fillId="0" borderId="2" xfId="3" applyNumberFormat="1" applyFont="1" applyFill="1" applyBorder="1"/>
    <xf numFmtId="10" fontId="1" fillId="29" borderId="2" xfId="3" applyNumberFormat="1" applyFill="1" applyBorder="1" applyAlignment="1">
      <alignment horizontal="center"/>
    </xf>
    <xf numFmtId="0" fontId="1" fillId="29" borderId="2" xfId="3" applyFill="1" applyBorder="1"/>
    <xf numFmtId="166" fontId="1" fillId="0" borderId="11" xfId="4" applyNumberFormat="1" applyFont="1" applyBorder="1"/>
    <xf numFmtId="173" fontId="1" fillId="29" borderId="2" xfId="3" applyNumberFormat="1" applyFill="1" applyBorder="1" applyAlignment="1">
      <alignment horizontal="center"/>
    </xf>
    <xf numFmtId="173" fontId="1" fillId="29" borderId="2" xfId="4" applyNumberFormat="1" applyFont="1" applyFill="1" applyBorder="1" applyAlignment="1">
      <alignment horizontal="center"/>
    </xf>
    <xf numFmtId="166" fontId="26" fillId="30" borderId="11" xfId="4" applyNumberFormat="1" applyFont="1" applyFill="1" applyBorder="1"/>
    <xf numFmtId="166" fontId="26" fillId="30" borderId="2" xfId="4" applyNumberFormat="1" applyFont="1" applyFill="1" applyBorder="1"/>
    <xf numFmtId="9" fontId="1" fillId="0" borderId="2" xfId="3" applyNumberFormat="1" applyFont="1" applyFill="1" applyBorder="1"/>
    <xf numFmtId="173" fontId="1" fillId="29" borderId="2" xfId="3" applyNumberFormat="1" applyFont="1" applyFill="1" applyBorder="1" applyAlignment="1">
      <alignment horizontal="center"/>
    </xf>
    <xf numFmtId="0" fontId="1" fillId="29" borderId="2" xfId="3" applyFont="1" applyFill="1" applyBorder="1" applyAlignment="1">
      <alignment horizontal="center"/>
    </xf>
    <xf numFmtId="0" fontId="41" fillId="0" borderId="0" xfId="3" applyFont="1" applyAlignment="1">
      <alignment horizontal="left"/>
    </xf>
    <xf numFmtId="2" fontId="1" fillId="0" borderId="0" xfId="3" applyNumberFormat="1" applyAlignment="1">
      <alignment horizontal="center"/>
    </xf>
    <xf numFmtId="0" fontId="42" fillId="0" borderId="2" xfId="0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right"/>
    </xf>
    <xf numFmtId="0" fontId="18" fillId="31" borderId="1" xfId="0" applyFont="1" applyFill="1" applyBorder="1" applyAlignment="1">
      <alignment horizontal="right"/>
    </xf>
    <xf numFmtId="0" fontId="19" fillId="32" borderId="1" xfId="0" applyFont="1" applyFill="1" applyBorder="1" applyAlignment="1">
      <alignment horizontal="center"/>
    </xf>
    <xf numFmtId="0" fontId="19" fillId="32" borderId="1" xfId="0" applyFont="1" applyFill="1" applyBorder="1"/>
    <xf numFmtId="0" fontId="19" fillId="0" borderId="0" xfId="0" applyFont="1" applyBorder="1" applyAlignment="1">
      <alignment horizontal="left"/>
    </xf>
    <xf numFmtId="0" fontId="37" fillId="0" borderId="0" xfId="9" applyFont="1" applyAlignment="1">
      <alignment horizontal="center" vertical="center"/>
    </xf>
    <xf numFmtId="0" fontId="34" fillId="0" borderId="0" xfId="9" applyFont="1" applyBorder="1" applyAlignment="1">
      <alignment horizontal="center" vertical="center"/>
    </xf>
    <xf numFmtId="0" fontId="41" fillId="0" borderId="0" xfId="3" applyFont="1" applyAlignment="1">
      <alignment horizontal="left"/>
    </xf>
  </cellXfs>
  <cellStyles count="11">
    <cellStyle name="Euro" xfId="6"/>
    <cellStyle name="Milliers" xfId="2" builtinId="3"/>
    <cellStyle name="Milliers 2" xfId="4"/>
    <cellStyle name="Milliers 3" xfId="7"/>
    <cellStyle name="Monétaire 2" xfId="8"/>
    <cellStyle name="Normal" xfId="0" builtinId="0"/>
    <cellStyle name="Normal 2" xfId="3"/>
    <cellStyle name="Normal 3" xfId="9"/>
    <cellStyle name="Pourcentage" xfId="1" builtinId="5"/>
    <cellStyle name="Pourcentage 2" xfId="5"/>
    <cellStyle name="Pourcentage 3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66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6666FF"/>
      <rgbColor rgb="0066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200"/>
              <a:t>Contribution mensuelle d'énergies solaire et autre </a:t>
            </a:r>
          </a:p>
        </c:rich>
      </c:tx>
      <c:layout>
        <c:manualLayout>
          <c:xMode val="edge"/>
          <c:yMode val="edge"/>
          <c:x val="0.1836409593237982"/>
          <c:y val="4.012903587696718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'Calcul-Tech'!$A$32</c:f>
              <c:strCache>
                <c:ptCount val="1"/>
                <c:pt idx="0">
                  <c:v>Solaire Thermique utile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'Calcul-Tech'!$D$32:$O$32</c:f>
              <c:numCache>
                <c:formatCode>0</c:formatCode>
                <c:ptCount val="12"/>
                <c:pt idx="0">
                  <c:v>468.49871501136022</c:v>
                </c:pt>
                <c:pt idx="1">
                  <c:v>1182.1512497961601</c:v>
                </c:pt>
                <c:pt idx="2">
                  <c:v>1455.2618897332804</c:v>
                </c:pt>
                <c:pt idx="3">
                  <c:v>1924.0865255160002</c:v>
                </c:pt>
                <c:pt idx="4">
                  <c:v>1550</c:v>
                </c:pt>
                <c:pt idx="5">
                  <c:v>930</c:v>
                </c:pt>
                <c:pt idx="6">
                  <c:v>620</c:v>
                </c:pt>
                <c:pt idx="7">
                  <c:v>620</c:v>
                </c:pt>
                <c:pt idx="8">
                  <c:v>930</c:v>
                </c:pt>
                <c:pt idx="9">
                  <c:v>1264.7063821600805</c:v>
                </c:pt>
                <c:pt idx="10">
                  <c:v>852.27244342560027</c:v>
                </c:pt>
                <c:pt idx="11">
                  <c:v>692.61043585392019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F9-4BE8-BCFC-BF5D50A75FB2}"/>
            </c:ext>
          </c:extLst>
        </c:ser>
        <c:ser>
          <c:idx val="1"/>
          <c:order val="1"/>
          <c:tx>
            <c:strRef>
              <c:f>'Calcul-Tech'!$A$33</c:f>
              <c:strCache>
                <c:ptCount val="1"/>
                <c:pt idx="0">
                  <c:v>Energie appoint (gaz ou autre)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'Calcul-Tech'!$D$33:$O$33</c:f>
              <c:numCache>
                <c:formatCode>0</c:formatCode>
                <c:ptCount val="12"/>
                <c:pt idx="0">
                  <c:v>3017.9516704852317</c:v>
                </c:pt>
                <c:pt idx="1">
                  <c:v>2493.2033752649918</c:v>
                </c:pt>
                <c:pt idx="2">
                  <c:v>1332.1595433467355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370.88170319189538</c:v>
                </c:pt>
                <c:pt idx="10">
                  <c:v>1310.0458235467197</c:v>
                </c:pt>
                <c:pt idx="11">
                  <c:v>2726.6064333899039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F9-4BE8-BCFC-BF5D50A75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831368"/>
        <c:axId val="180831760"/>
      </c:barChart>
      <c:catAx>
        <c:axId val="180831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0831760"/>
        <c:crosses val="autoZero"/>
        <c:auto val="1"/>
        <c:lblAlgn val="ctr"/>
        <c:lblOffset val="100"/>
        <c:noMultiLvlLbl val="0"/>
      </c:catAx>
      <c:valAx>
        <c:axId val="18083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  Energie</a:t>
                </a:r>
                <a:r>
                  <a:rPr lang="fr-FR" baseline="0"/>
                  <a:t> de chauffe  </a:t>
                </a:r>
                <a:r>
                  <a:rPr lang="fr-FR"/>
                  <a:t>kWh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80831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/>
              <a:t>Taux  mensuel de couverture du besoin par solaire  </a:t>
            </a:r>
          </a:p>
        </c:rich>
      </c:tx>
      <c:layout>
        <c:manualLayout>
          <c:xMode val="edge"/>
          <c:yMode val="edge"/>
          <c:x val="0.17990650154112781"/>
          <c:y val="3.0476129266468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'Calcul-Tech'!$A$35</c:f>
              <c:strCache>
                <c:ptCount val="1"/>
                <c:pt idx="0">
                  <c:v>Taux  de couverture par mois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'Calcul-Tech'!$D$35:$O$35</c:f>
              <c:numCache>
                <c:formatCode>0%</c:formatCode>
                <c:ptCount val="12"/>
                <c:pt idx="0">
                  <c:v>0.16792068638400007</c:v>
                </c:pt>
                <c:pt idx="1">
                  <c:v>0.38133911283747102</c:v>
                </c:pt>
                <c:pt idx="2">
                  <c:v>0.58679914908600017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0.81593960139360033</c:v>
                </c:pt>
                <c:pt idx="10">
                  <c:v>0.4582109910890324</c:v>
                </c:pt>
                <c:pt idx="11">
                  <c:v>0.24824746804800008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6-4DBA-A20C-891EEA02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32544"/>
        <c:axId val="180832936"/>
      </c:barChart>
      <c:catAx>
        <c:axId val="18083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832936"/>
        <c:crosses val="autoZero"/>
        <c:auto val="1"/>
        <c:lblAlgn val="ctr"/>
        <c:lblOffset val="100"/>
        <c:noMultiLvlLbl val="0"/>
      </c:catAx>
      <c:valAx>
        <c:axId val="1808329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083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effectLst/>
              </a:rPr>
              <a:t>Besoin de chauffage par mois</a:t>
            </a:r>
            <a:endParaRPr lang="fr-FR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'Calcul-Tech'!$D$27:$O$27</c:f>
              <c:numCache>
                <c:formatCode>General</c:formatCode>
                <c:ptCount val="12"/>
                <c:pt idx="0">
                  <c:v>2790</c:v>
                </c:pt>
                <c:pt idx="1">
                  <c:v>3100</c:v>
                </c:pt>
                <c:pt idx="2">
                  <c:v>2480</c:v>
                </c:pt>
                <c:pt idx="3">
                  <c:v>1860</c:v>
                </c:pt>
                <c:pt idx="4">
                  <c:v>1550</c:v>
                </c:pt>
                <c:pt idx="5">
                  <c:v>930</c:v>
                </c:pt>
                <c:pt idx="6">
                  <c:v>620</c:v>
                </c:pt>
                <c:pt idx="7">
                  <c:v>620</c:v>
                </c:pt>
                <c:pt idx="8">
                  <c:v>930</c:v>
                </c:pt>
                <c:pt idx="9">
                  <c:v>1550</c:v>
                </c:pt>
                <c:pt idx="10">
                  <c:v>1860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33720"/>
        <c:axId val="181983376"/>
      </c:barChart>
      <c:catAx>
        <c:axId val="180833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983376"/>
        <c:crosses val="autoZero"/>
        <c:auto val="1"/>
        <c:lblAlgn val="ctr"/>
        <c:lblOffset val="100"/>
        <c:noMultiLvlLbl val="0"/>
      </c:catAx>
      <c:valAx>
        <c:axId val="18198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kWh</a:t>
                </a:r>
                <a:r>
                  <a:rPr lang="fr-FR" baseline="0"/>
                  <a:t> / mois</a:t>
                </a:r>
                <a:endParaRPr lang="fr-F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833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7848331690507"/>
          <c:y val="0.11885981977450326"/>
          <c:w val="0.74814734136501304"/>
          <c:h val="0.82507951167272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'calcul-ROIC'!$P$2</c:f>
              <c:strCache>
                <c:ptCount val="1"/>
                <c:pt idx="0">
                  <c:v>ROI 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'calcul-ROIC'!$P$3:$P$23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-12979.185768118447</c:v>
                </c:pt>
                <c:pt idx="3">
                  <c:v>-10431.060097500351</c:v>
                </c:pt>
                <c:pt idx="4">
                  <c:v>-7857.4531701760752</c:v>
                </c:pt>
                <c:pt idx="5">
                  <c:v>-5258.110173578556</c:v>
                </c:pt>
                <c:pt idx="6">
                  <c:v>-2632.7737470150605</c:v>
                </c:pt>
                <c:pt idx="7">
                  <c:v>18.816043814069417</c:v>
                </c:pt>
                <c:pt idx="8">
                  <c:v>2696.921732551491</c:v>
                </c:pt>
                <c:pt idx="9">
                  <c:v>5401.8084781762846</c:v>
                </c:pt>
                <c:pt idx="10">
                  <c:v>8133.7440912573293</c:v>
                </c:pt>
                <c:pt idx="11">
                  <c:v>10892.999060469181</c:v>
                </c:pt>
                <c:pt idx="12">
                  <c:v>13679.846579373152</c:v>
                </c:pt>
                <c:pt idx="13">
                  <c:v>16494.562573466166</c:v>
                </c:pt>
                <c:pt idx="14">
                  <c:v>19337.425727500107</c:v>
                </c:pt>
                <c:pt idx="15">
                  <c:v>22208.717513074385</c:v>
                </c:pt>
                <c:pt idx="16">
                  <c:v>25108.722216504408</c:v>
                </c:pt>
                <c:pt idx="17">
                  <c:v>28037.72696696873</c:v>
                </c:pt>
                <c:pt idx="18">
                  <c:v>30996.021764937701</c:v>
                </c:pt>
                <c:pt idx="19">
                  <c:v>33983.89951088636</c:v>
                </c:pt>
                <c:pt idx="20">
                  <c:v>37001.656034294501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D-4467-BE08-5EABF41C394A}"/>
            </c:ext>
          </c:extLst>
        </c:ser>
        <c:ser>
          <c:idx val="1"/>
          <c:order val="1"/>
          <c:tx>
            <c:strRef>
              <c:f>'calcul-ROIC'!$Q$2</c:f>
              <c:strCache>
                <c:ptCount val="1"/>
                <c:pt idx="0">
                  <c:v>ROI 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'calcul-ROIC'!$Q$3:$Q$23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-12929.227417552462</c:v>
                </c:pt>
                <c:pt idx="3">
                  <c:v>-10279.186711779756</c:v>
                </c:pt>
                <c:pt idx="4">
                  <c:v>-7549.6447848338685</c:v>
                </c:pt>
                <c:pt idx="5">
                  <c:v>-4738.2166000796042</c:v>
                </c:pt>
                <c:pt idx="6">
                  <c:v>-1842.4455697827107</c:v>
                </c:pt>
                <c:pt idx="7">
                  <c:v>1140.19859142309</c:v>
                </c:pt>
                <c:pt idx="8">
                  <c:v>4212.3220774650617</c:v>
                </c:pt>
                <c:pt idx="9">
                  <c:v>7376.6092680882939</c:v>
                </c:pt>
                <c:pt idx="10">
                  <c:v>10635.825074430224</c:v>
                </c:pt>
                <c:pt idx="11">
                  <c:v>13992.817354962412</c:v>
                </c:pt>
                <c:pt idx="12">
                  <c:v>17450.519403910563</c:v>
                </c:pt>
                <c:pt idx="13">
                  <c:v>21011.95251432716</c:v>
                </c:pt>
                <c:pt idx="14">
                  <c:v>24680.228618056259</c:v>
                </c:pt>
                <c:pt idx="15">
                  <c:v>28458.553004897229</c:v>
                </c:pt>
                <c:pt idx="16">
                  <c:v>32350.227123343429</c:v>
                </c:pt>
                <c:pt idx="17">
                  <c:v>36358.651465343013</c:v>
                </c:pt>
                <c:pt idx="18">
                  <c:v>40487.328537602589</c:v>
                </c:pt>
                <c:pt idx="19">
                  <c:v>44739.865922029945</c:v>
                </c:pt>
                <c:pt idx="20">
                  <c:v>49119.979427990125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D-4467-BE08-5EABF41C394A}"/>
            </c:ext>
          </c:extLst>
        </c:ser>
        <c:ser>
          <c:idx val="2"/>
          <c:order val="2"/>
          <c:tx>
            <c:strRef>
              <c:f>'calcul-ROIC'!$R$2</c:f>
              <c:strCache>
                <c:ptCount val="1"/>
                <c:pt idx="0">
                  <c:v>ROI 3</c:v>
                </c:pt>
              </c:strCache>
            </c:strRef>
          </c:tx>
          <c:spPr>
            <a:ln>
              <a:solidFill>
                <a:srgbClr val="A9E63A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'calcul-ROIC'!$R$3:$R$23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-12879.269066986475</c:v>
                </c:pt>
                <c:pt idx="3">
                  <c:v>-10125.314992036518</c:v>
                </c:pt>
                <c:pt idx="4">
                  <c:v>-7233.6632133390631</c:v>
                </c:pt>
                <c:pt idx="5">
                  <c:v>-4197.428845706736</c:v>
                </c:pt>
                <c:pt idx="6">
                  <c:v>-1009.3827596927913</c:v>
                </c:pt>
                <c:pt idx="7">
                  <c:v>2338.0656306218516</c:v>
                </c:pt>
                <c:pt idx="8">
                  <c:v>5852.8864404522246</c:v>
                </c:pt>
                <c:pt idx="9">
                  <c:v>9543.4482907741185</c:v>
                </c:pt>
                <c:pt idx="10">
                  <c:v>13418.538233612107</c:v>
                </c:pt>
                <c:pt idx="11">
                  <c:v>17487.382673591994</c:v>
                </c:pt>
                <c:pt idx="12">
                  <c:v>21759.669335570878</c:v>
                </c:pt>
                <c:pt idx="13">
                  <c:v>26245.570330648705</c:v>
                </c:pt>
                <c:pt idx="14">
                  <c:v>30955.766375480423</c:v>
                </c:pt>
                <c:pt idx="15">
                  <c:v>35901.472222553726</c:v>
                </c:pt>
                <c:pt idx="16">
                  <c:v>41094.463361980699</c:v>
                </c:pt>
                <c:pt idx="17">
                  <c:v>46547.104058379016</c:v>
                </c:pt>
                <c:pt idx="18">
                  <c:v>52272.376789597256</c:v>
                </c:pt>
                <c:pt idx="19">
                  <c:v>58283.913157376403</c:v>
                </c:pt>
                <c:pt idx="20">
                  <c:v>64596.026343544509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D-4467-BE08-5EABF41C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84160"/>
        <c:axId val="181984552"/>
      </c:scatterChart>
      <c:valAx>
        <c:axId val="181984160"/>
        <c:scaling>
          <c:orientation val="minMax"/>
          <c:max val="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fr-FR" b="0">
                    <a:solidFill>
                      <a:schemeClr val="bg1">
                        <a:lumMod val="50000"/>
                      </a:schemeClr>
                    </a:solidFill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0.90294310893257546"/>
              <c:y val="0.79762017311581412"/>
            </c:manualLayout>
          </c:layout>
          <c:overlay val="0"/>
        </c:title>
        <c:numFmt formatCode="General" sourceLinked="1"/>
        <c:majorTickMark val="cross"/>
        <c:minorTickMark val="cross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81984552"/>
        <c:crosses val="autoZero"/>
        <c:crossBetween val="midCat"/>
      </c:valAx>
      <c:valAx>
        <c:axId val="181984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81984160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gradFill flip="none" rotWithShape="1">
      <a:gsLst>
        <a:gs pos="0">
          <a:sysClr val="window" lastClr="FFFFFF"/>
        </a:gs>
        <a:gs pos="100000">
          <a:srgbClr val="FFFFCC"/>
        </a:gs>
      </a:gsLst>
      <a:path path="circle">
        <a:fillToRect l="50000" t="50000" r="50000" b="50000"/>
      </a:path>
      <a:tileRect/>
    </a:gra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Résultat de simulation de financement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val>
            <c:numRef>
              <c:f>'Calcul -financement'!$D$15:$W$15</c:f>
              <c:numCache>
                <c:formatCode>_-* #\ ##0\ _€_-;\-* #\ ##0\ _€_-;_-* "-"??\ _€_-;_-@_-</c:formatCode>
                <c:ptCount val="20"/>
                <c:pt idx="0">
                  <c:v>1117.7087897697493</c:v>
                </c:pt>
                <c:pt idx="1">
                  <c:v>1192.6463156187283</c:v>
                </c:pt>
                <c:pt idx="2">
                  <c:v>1269.8319672431762</c:v>
                </c:pt>
                <c:pt idx="3">
                  <c:v>1349.3331884163572</c:v>
                </c:pt>
                <c:pt idx="4">
                  <c:v>1431.2194462247344</c:v>
                </c:pt>
                <c:pt idx="5">
                  <c:v>1315.5622917673622</c:v>
                </c:pt>
                <c:pt idx="6">
                  <c:v>1396.4354226762684</c:v>
                </c:pt>
                <c:pt idx="7">
                  <c:v>1479.7347475124425</c:v>
                </c:pt>
                <c:pt idx="8">
                  <c:v>1565.5330520937018</c:v>
                </c:pt>
                <c:pt idx="9">
                  <c:v>1653.9053058123991</c:v>
                </c:pt>
                <c:pt idx="10">
                  <c:v>3125.1374656721873</c:v>
                </c:pt>
                <c:pt idx="11">
                  <c:v>3218.8915896423528</c:v>
                </c:pt>
                <c:pt idx="12">
                  <c:v>3315.4583373316241</c:v>
                </c:pt>
                <c:pt idx="13">
                  <c:v>3414.9220874515727</c:v>
                </c:pt>
                <c:pt idx="14">
                  <c:v>3517.3697500751196</c:v>
                </c:pt>
                <c:pt idx="15">
                  <c:v>3622.8908425773734</c:v>
                </c:pt>
                <c:pt idx="16">
                  <c:v>3731.5775678546952</c:v>
                </c:pt>
                <c:pt idx="17">
                  <c:v>3843.5248948903359</c:v>
                </c:pt>
                <c:pt idx="18">
                  <c:v>3958.8306417370459</c:v>
                </c:pt>
                <c:pt idx="19">
                  <c:v>4077.5955609891571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00-461F-B08A-D9D0728D7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86904"/>
        <c:axId val="181602312"/>
      </c:barChart>
      <c:catAx>
        <c:axId val="18198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1602312"/>
        <c:crosses val="autoZero"/>
        <c:auto val="1"/>
        <c:lblAlgn val="ctr"/>
        <c:lblOffset val="100"/>
        <c:noMultiLvlLbl val="0"/>
      </c:catAx>
      <c:valAx>
        <c:axId val="181602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Economie en €/an</a:t>
                </a:r>
              </a:p>
            </c:rich>
          </c:tx>
          <c:layout/>
          <c:overlay val="0"/>
        </c:title>
        <c:numFmt formatCode="_-* #\ ##0\ _€_-;\-* #\ ##0\ _€_-;_-* &quot;-&quot;??\ _€_-;_-@_-" sourceLinked="1"/>
        <c:majorTickMark val="out"/>
        <c:minorTickMark val="none"/>
        <c:tickLblPos val="nextTo"/>
        <c:crossAx val="181986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Besoin de chauffage par jour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val>
            <c:numRef>
              <c:f>'Calcul-Tech'!$D$26:$O$26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80</c:v>
                </c:pt>
                <c:pt idx="3">
                  <c:v>60</c:v>
                </c:pt>
                <c:pt idx="4">
                  <c:v>50</c:v>
                </c:pt>
                <c:pt idx="5">
                  <c:v>30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50</c:v>
                </c:pt>
                <c:pt idx="10">
                  <c:v>60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603488"/>
        <c:axId val="181603880"/>
      </c:barChart>
      <c:catAx>
        <c:axId val="181603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603880"/>
        <c:crosses val="autoZero"/>
        <c:auto val="1"/>
        <c:lblAlgn val="ctr"/>
        <c:lblOffset val="100"/>
        <c:noMultiLvlLbl val="0"/>
      </c:catAx>
      <c:valAx>
        <c:axId val="181603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Kwh /jour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160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effectLst/>
              </a:rPr>
              <a:t>Besoin de chauffage par mois</a:t>
            </a:r>
            <a:endParaRPr lang="fr-FR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'Calcul-Tech'!$D$27:$O$27</c:f>
              <c:numCache>
                <c:formatCode>General</c:formatCode>
                <c:ptCount val="12"/>
                <c:pt idx="0">
                  <c:v>2790</c:v>
                </c:pt>
                <c:pt idx="1">
                  <c:v>3100</c:v>
                </c:pt>
                <c:pt idx="2">
                  <c:v>2480</c:v>
                </c:pt>
                <c:pt idx="3">
                  <c:v>1860</c:v>
                </c:pt>
                <c:pt idx="4">
                  <c:v>1550</c:v>
                </c:pt>
                <c:pt idx="5">
                  <c:v>930</c:v>
                </c:pt>
                <c:pt idx="6">
                  <c:v>620</c:v>
                </c:pt>
                <c:pt idx="7">
                  <c:v>620</c:v>
                </c:pt>
                <c:pt idx="8">
                  <c:v>930</c:v>
                </c:pt>
                <c:pt idx="9">
                  <c:v>1550</c:v>
                </c:pt>
                <c:pt idx="10">
                  <c:v>1860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04664"/>
        <c:axId val="181605056"/>
      </c:barChart>
      <c:catAx>
        <c:axId val="181604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605056"/>
        <c:crosses val="autoZero"/>
        <c:auto val="1"/>
        <c:lblAlgn val="ctr"/>
        <c:lblOffset val="100"/>
        <c:noMultiLvlLbl val="0"/>
      </c:catAx>
      <c:valAx>
        <c:axId val="18160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kWh</a:t>
                </a:r>
                <a:r>
                  <a:rPr lang="fr-FR" baseline="0"/>
                  <a:t> / mois</a:t>
                </a: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1604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7848331690507"/>
          <c:y val="0.11885981977450326"/>
          <c:w val="0.74814734136501304"/>
          <c:h val="0.82507951167272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'calcul-ROIC'!$P$2</c:f>
              <c:strCache>
                <c:ptCount val="1"/>
                <c:pt idx="0">
                  <c:v>ROI 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'calcul-ROIC'!$P$3:$P$23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-12979.185768118447</c:v>
                </c:pt>
                <c:pt idx="3">
                  <c:v>-10431.060097500351</c:v>
                </c:pt>
                <c:pt idx="4">
                  <c:v>-7857.4531701760752</c:v>
                </c:pt>
                <c:pt idx="5">
                  <c:v>-5258.110173578556</c:v>
                </c:pt>
                <c:pt idx="6">
                  <c:v>-2632.7737470150605</c:v>
                </c:pt>
                <c:pt idx="7">
                  <c:v>18.816043814069417</c:v>
                </c:pt>
                <c:pt idx="8">
                  <c:v>2696.921732551491</c:v>
                </c:pt>
                <c:pt idx="9">
                  <c:v>5401.8084781762846</c:v>
                </c:pt>
                <c:pt idx="10">
                  <c:v>8133.7440912573293</c:v>
                </c:pt>
                <c:pt idx="11">
                  <c:v>10892.999060469181</c:v>
                </c:pt>
                <c:pt idx="12">
                  <c:v>13679.846579373152</c:v>
                </c:pt>
                <c:pt idx="13">
                  <c:v>16494.562573466166</c:v>
                </c:pt>
                <c:pt idx="14">
                  <c:v>19337.425727500107</c:v>
                </c:pt>
                <c:pt idx="15">
                  <c:v>22208.717513074385</c:v>
                </c:pt>
                <c:pt idx="16">
                  <c:v>25108.722216504408</c:v>
                </c:pt>
                <c:pt idx="17">
                  <c:v>28037.72696696873</c:v>
                </c:pt>
                <c:pt idx="18">
                  <c:v>30996.021764937701</c:v>
                </c:pt>
                <c:pt idx="19">
                  <c:v>33983.89951088636</c:v>
                </c:pt>
                <c:pt idx="20">
                  <c:v>37001.656034294501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D-4467-BE08-5EABF41C394A}"/>
            </c:ext>
          </c:extLst>
        </c:ser>
        <c:ser>
          <c:idx val="1"/>
          <c:order val="1"/>
          <c:tx>
            <c:strRef>
              <c:f>'calcul-ROIC'!$Q$2</c:f>
              <c:strCache>
                <c:ptCount val="1"/>
                <c:pt idx="0">
                  <c:v>ROI 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'calcul-ROIC'!$Q$3:$Q$23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-12929.227417552462</c:v>
                </c:pt>
                <c:pt idx="3">
                  <c:v>-10279.186711779756</c:v>
                </c:pt>
                <c:pt idx="4">
                  <c:v>-7549.6447848338685</c:v>
                </c:pt>
                <c:pt idx="5">
                  <c:v>-4738.2166000796042</c:v>
                </c:pt>
                <c:pt idx="6">
                  <c:v>-1842.4455697827107</c:v>
                </c:pt>
                <c:pt idx="7">
                  <c:v>1140.19859142309</c:v>
                </c:pt>
                <c:pt idx="8">
                  <c:v>4212.3220774650617</c:v>
                </c:pt>
                <c:pt idx="9">
                  <c:v>7376.6092680882939</c:v>
                </c:pt>
                <c:pt idx="10">
                  <c:v>10635.825074430224</c:v>
                </c:pt>
                <c:pt idx="11">
                  <c:v>13992.817354962412</c:v>
                </c:pt>
                <c:pt idx="12">
                  <c:v>17450.519403910563</c:v>
                </c:pt>
                <c:pt idx="13">
                  <c:v>21011.95251432716</c:v>
                </c:pt>
                <c:pt idx="14">
                  <c:v>24680.228618056259</c:v>
                </c:pt>
                <c:pt idx="15">
                  <c:v>28458.553004897229</c:v>
                </c:pt>
                <c:pt idx="16">
                  <c:v>32350.227123343429</c:v>
                </c:pt>
                <c:pt idx="17">
                  <c:v>36358.651465343013</c:v>
                </c:pt>
                <c:pt idx="18">
                  <c:v>40487.328537602589</c:v>
                </c:pt>
                <c:pt idx="19">
                  <c:v>44739.865922029945</c:v>
                </c:pt>
                <c:pt idx="20">
                  <c:v>49119.979427990125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D-4467-BE08-5EABF41C394A}"/>
            </c:ext>
          </c:extLst>
        </c:ser>
        <c:ser>
          <c:idx val="2"/>
          <c:order val="2"/>
          <c:tx>
            <c:strRef>
              <c:f>'calcul-ROIC'!$R$2</c:f>
              <c:strCache>
                <c:ptCount val="1"/>
                <c:pt idx="0">
                  <c:v>ROI 3</c:v>
                </c:pt>
              </c:strCache>
            </c:strRef>
          </c:tx>
          <c:spPr>
            <a:ln>
              <a:solidFill>
                <a:srgbClr val="A9E63A"/>
              </a:solidFill>
            </a:ln>
          </c:spPr>
          <c:marker>
            <c:symbol val="none"/>
          </c:marker>
          <c:xVal>
            <c:numRef>
              <c:f>'calcul-ROIC'!$O$3:$O$23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'calcul-ROIC'!$R$3:$R$23</c:f>
              <c:numCache>
                <c:formatCode>0.00</c:formatCode>
                <c:ptCount val="21"/>
                <c:pt idx="0">
                  <c:v>-25000</c:v>
                </c:pt>
                <c:pt idx="1">
                  <c:v>-15502.08247170072</c:v>
                </c:pt>
                <c:pt idx="2">
                  <c:v>-12879.269066986475</c:v>
                </c:pt>
                <c:pt idx="3">
                  <c:v>-10125.314992036518</c:v>
                </c:pt>
                <c:pt idx="4">
                  <c:v>-7233.6632133390631</c:v>
                </c:pt>
                <c:pt idx="5">
                  <c:v>-4197.428845706736</c:v>
                </c:pt>
                <c:pt idx="6">
                  <c:v>-1009.3827596927913</c:v>
                </c:pt>
                <c:pt idx="7">
                  <c:v>2338.0656306218516</c:v>
                </c:pt>
                <c:pt idx="8">
                  <c:v>5852.8864404522246</c:v>
                </c:pt>
                <c:pt idx="9">
                  <c:v>9543.4482907741185</c:v>
                </c:pt>
                <c:pt idx="10">
                  <c:v>13418.538233612107</c:v>
                </c:pt>
                <c:pt idx="11">
                  <c:v>17487.382673591994</c:v>
                </c:pt>
                <c:pt idx="12">
                  <c:v>21759.669335570878</c:v>
                </c:pt>
                <c:pt idx="13">
                  <c:v>26245.570330648705</c:v>
                </c:pt>
                <c:pt idx="14">
                  <c:v>30955.766375480423</c:v>
                </c:pt>
                <c:pt idx="15">
                  <c:v>35901.472222553726</c:v>
                </c:pt>
                <c:pt idx="16">
                  <c:v>41094.463361980699</c:v>
                </c:pt>
                <c:pt idx="17">
                  <c:v>46547.104058379016</c:v>
                </c:pt>
                <c:pt idx="18">
                  <c:v>52272.376789597256</c:v>
                </c:pt>
                <c:pt idx="19">
                  <c:v>58283.913157376403</c:v>
                </c:pt>
                <c:pt idx="20">
                  <c:v>64596.026343544509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D-4467-BE08-5EABF41C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86512"/>
        <c:axId val="181986120"/>
      </c:scatterChart>
      <c:valAx>
        <c:axId val="181986512"/>
        <c:scaling>
          <c:orientation val="minMax"/>
          <c:max val="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fr-FR" b="0">
                    <a:solidFill>
                      <a:schemeClr val="bg1">
                        <a:lumMod val="50000"/>
                      </a:schemeClr>
                    </a:solidFill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0.90294310893257546"/>
              <c:y val="0.79762017311581412"/>
            </c:manualLayout>
          </c:layout>
          <c:overlay val="0"/>
        </c:title>
        <c:numFmt formatCode="General" sourceLinked="1"/>
        <c:majorTickMark val="cross"/>
        <c:minorTickMark val="cross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81986120"/>
        <c:crosses val="autoZero"/>
        <c:crossBetween val="midCat"/>
      </c:valAx>
      <c:valAx>
        <c:axId val="181986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fr-FR"/>
          </a:p>
        </c:txPr>
        <c:crossAx val="181986512"/>
        <c:crosses val="autoZero"/>
        <c:crossBetween val="midCat"/>
      </c:valAx>
      <c:spPr>
        <a:noFill/>
      </c:spPr>
    </c:plotArea>
    <c:plotVisOnly val="0"/>
    <c:dispBlanksAs val="gap"/>
    <c:showDLblsOverMax val="0"/>
  </c:chart>
  <c:spPr>
    <a:gradFill flip="none" rotWithShape="1">
      <a:gsLst>
        <a:gs pos="0">
          <a:sysClr val="window" lastClr="FFFFFF"/>
        </a:gs>
        <a:gs pos="100000">
          <a:srgbClr val="FFFFCC"/>
        </a:gs>
      </a:gsLst>
      <a:path path="circle">
        <a:fillToRect l="50000" t="50000" r="50000" b="50000"/>
      </a:path>
      <a:tileRect/>
    </a:gra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256486</xdr:colOff>
      <xdr:row>14</xdr:row>
      <xdr:rowOff>169517</xdr:rowOff>
    </xdr:from>
    <xdr:to>
      <xdr:col>3</xdr:col>
      <xdr:colOff>500062</xdr:colOff>
      <xdr:row>29</xdr:row>
      <xdr:rowOff>39687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5B267A3-2F8E-41A6-B391-AB6DF9225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103189</xdr:colOff>
      <xdr:row>15</xdr:row>
      <xdr:rowOff>23813</xdr:rowOff>
    </xdr:from>
    <xdr:to>
      <xdr:col>9</xdr:col>
      <xdr:colOff>1</xdr:colOff>
      <xdr:row>29</xdr:row>
      <xdr:rowOff>166688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A7A43311-C832-4847-AEA2-B26F8A7E0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412749</xdr:colOff>
      <xdr:row>0</xdr:row>
      <xdr:rowOff>111124</xdr:rowOff>
    </xdr:from>
    <xdr:to>
      <xdr:col>12</xdr:col>
      <xdr:colOff>103187</xdr:colOff>
      <xdr:row>14</xdr:row>
      <xdr:rowOff>71436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3</xdr:row>
      <xdr:rowOff>9525</xdr:rowOff>
    </xdr:from>
    <xdr:to>
      <xdr:col>8</xdr:col>
      <xdr:colOff>581025</xdr:colOff>
      <xdr:row>29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19</xdr:row>
      <xdr:rowOff>171450</xdr:rowOff>
    </xdr:from>
    <xdr:to>
      <xdr:col>11</xdr:col>
      <xdr:colOff>166688</xdr:colOff>
      <xdr:row>38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952500</xdr:colOff>
      <xdr:row>3</xdr:row>
      <xdr:rowOff>133350</xdr:rowOff>
    </xdr:from>
    <xdr:to>
      <xdr:col>22</xdr:col>
      <xdr:colOff>104775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1038225</xdr:colOff>
      <xdr:row>21</xdr:row>
      <xdr:rowOff>28575</xdr:rowOff>
    </xdr:from>
    <xdr:to>
      <xdr:col>22</xdr:col>
      <xdr:colOff>190500</xdr:colOff>
      <xdr:row>36</xdr:row>
      <xdr:rowOff>47625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133352</xdr:colOff>
      <xdr:row>4</xdr:row>
      <xdr:rowOff>95250</xdr:rowOff>
    </xdr:from>
    <xdr:to>
      <xdr:col>2</xdr:col>
      <xdr:colOff>1504951</xdr:colOff>
      <xdr:row>26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914400</xdr:colOff>
      <xdr:row>25</xdr:row>
      <xdr:rowOff>130921</xdr:rowOff>
    </xdr:from>
    <xdr:to>
      <xdr:col>3</xdr:col>
      <xdr:colOff>1261926</xdr:colOff>
      <xdr:row>27</xdr:row>
      <xdr:rowOff>56921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048000" y="4655296"/>
          <a:ext cx="4626" cy="2879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oneCellAnchor>
    <xdr:from>
      <xdr:col>3</xdr:col>
      <xdr:colOff>657225</xdr:colOff>
      <xdr:row>22</xdr:row>
      <xdr:rowOff>147436</xdr:rowOff>
    </xdr:from>
    <xdr:ext cx="903234" cy="181335"/>
    <xdr:pic macro="[0]!Groupe14_Clic"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43225" y="4128886"/>
          <a:ext cx="903234" cy="18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NGTECH-H/mkt-cial/CALCUL-Fengtech/ETF-FENGTECH/FR-production%20eau%20chaude%20solaire-V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s-ROIC (2)"/>
      <sheetName val="Données"/>
      <sheetName val="Calcul-Tech"/>
      <sheetName val="Resultats-Tech"/>
      <sheetName val="Résumé_tech-BE"/>
    </sheetNames>
    <sheetDataSet>
      <sheetData sheetId="0" refreshError="1"/>
      <sheetData sheetId="1">
        <row r="2">
          <cell r="B2" t="str">
            <v>yyyy</v>
          </cell>
          <cell r="C2">
            <v>44342</v>
          </cell>
        </row>
        <row r="29">
          <cell r="B29">
            <v>0.01</v>
          </cell>
          <cell r="C29">
            <v>0.03</v>
          </cell>
          <cell r="D29">
            <v>0.05</v>
          </cell>
        </row>
        <row r="31">
          <cell r="A31" t="str">
            <v>Tarif d'énergie conventionnelle actuel</v>
          </cell>
          <cell r="C31" t="str">
            <v>euro HT/ kWh</v>
          </cell>
        </row>
      </sheetData>
      <sheetData sheetId="2">
        <row r="28">
          <cell r="P28">
            <v>20199.335548172756</v>
          </cell>
        </row>
      </sheetData>
      <sheetData sheetId="3" refreshError="1"/>
      <sheetData sheetId="4">
        <row r="8">
          <cell r="C8">
            <v>20199.335548172756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opLeftCell="A4" zoomScale="85" zoomScaleNormal="85" workbookViewId="0">
      <selection activeCell="C20" sqref="C20"/>
    </sheetView>
  </sheetViews>
  <sheetFormatPr baseColWidth="10" defaultRowHeight="13.8" x14ac:dyDescent="0.25"/>
  <cols>
    <col min="2" max="2" width="39.5" customWidth="1"/>
    <col min="3" max="3" width="12.69921875" customWidth="1"/>
    <col min="10" max="10" width="12.69921875" customWidth="1"/>
    <col min="11" max="11" width="11" customWidth="1"/>
  </cols>
  <sheetData>
    <row r="1" spans="2:15" ht="15.6" x14ac:dyDescent="0.3">
      <c r="B1" s="394" t="s">
        <v>178</v>
      </c>
      <c r="C1" s="141"/>
      <c r="D1" s="141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2:15" ht="15.6" x14ac:dyDescent="0.3">
      <c r="B2" s="142" t="s">
        <v>55</v>
      </c>
      <c r="C2" s="143" t="s">
        <v>180</v>
      </c>
      <c r="D2" s="144">
        <v>44454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5" ht="15.6" x14ac:dyDescent="0.3">
      <c r="B3" s="145"/>
      <c r="C3" s="158"/>
      <c r="D3" s="79"/>
      <c r="E3" s="79"/>
      <c r="F3" s="79"/>
      <c r="G3" s="79"/>
      <c r="H3" s="208"/>
      <c r="I3" s="209" t="s">
        <v>113</v>
      </c>
      <c r="J3" s="210">
        <f>IF(C7&gt;3,5000,2000)</f>
        <v>5000</v>
      </c>
      <c r="K3" s="208" t="s">
        <v>114</v>
      </c>
      <c r="L3" s="79"/>
      <c r="M3" s="79"/>
      <c r="N3" s="79"/>
      <c r="O3" s="79"/>
    </row>
    <row r="4" spans="2:15" ht="15" x14ac:dyDescent="0.25">
      <c r="B4" s="146"/>
      <c r="C4" s="158"/>
      <c r="D4" s="79"/>
      <c r="E4" s="168"/>
      <c r="F4" s="168"/>
      <c r="G4" s="168"/>
      <c r="H4" s="208"/>
      <c r="I4" s="209" t="s">
        <v>115</v>
      </c>
      <c r="J4" s="210">
        <v>4000</v>
      </c>
      <c r="K4" s="208" t="s">
        <v>116</v>
      </c>
      <c r="L4" s="168"/>
      <c r="M4" s="168"/>
      <c r="N4" s="79"/>
      <c r="O4" s="79"/>
    </row>
    <row r="5" spans="2:15" ht="15.6" x14ac:dyDescent="0.3">
      <c r="B5" s="147" t="s">
        <v>93</v>
      </c>
      <c r="C5" s="159" t="s">
        <v>97</v>
      </c>
      <c r="D5" s="78" t="s">
        <v>99</v>
      </c>
      <c r="E5" s="169" t="s">
        <v>179</v>
      </c>
      <c r="F5" s="169"/>
      <c r="G5" s="169"/>
      <c r="H5" s="208"/>
      <c r="I5" s="211" t="s">
        <v>117</v>
      </c>
      <c r="J5" s="212">
        <f>J4*C7+J3</f>
        <v>25000</v>
      </c>
      <c r="K5" s="211" t="s">
        <v>114</v>
      </c>
      <c r="L5" s="170"/>
      <c r="M5" s="170"/>
      <c r="N5" s="79"/>
      <c r="O5" s="79"/>
    </row>
    <row r="6" spans="2:15" ht="15.6" x14ac:dyDescent="0.3">
      <c r="B6" s="148"/>
      <c r="C6" s="158"/>
      <c r="D6" s="79"/>
      <c r="E6" s="168"/>
      <c r="F6" s="168"/>
      <c r="G6" s="168"/>
      <c r="H6" s="168"/>
      <c r="I6" s="168"/>
      <c r="J6" s="168"/>
      <c r="K6" s="168"/>
      <c r="L6" s="168"/>
      <c r="M6" s="168"/>
      <c r="N6" s="79"/>
      <c r="O6" s="79"/>
    </row>
    <row r="7" spans="2:15" ht="15.6" x14ac:dyDescent="0.3">
      <c r="B7" s="149" t="s">
        <v>49</v>
      </c>
      <c r="C7" s="159">
        <v>5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2:15" ht="15.6" x14ac:dyDescent="0.3">
      <c r="B8" s="150"/>
      <c r="C8" s="160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2:15" ht="15.6" x14ac:dyDescent="0.3">
      <c r="B9" s="151" t="s">
        <v>59</v>
      </c>
      <c r="C9" s="140" t="s">
        <v>98</v>
      </c>
      <c r="D9" s="98" t="s">
        <v>48</v>
      </c>
      <c r="E9" s="99">
        <v>0.8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2:15" ht="15.6" x14ac:dyDescent="0.3">
      <c r="B10" s="152" t="s">
        <v>52</v>
      </c>
      <c r="C10" s="97" t="s">
        <v>5</v>
      </c>
      <c r="D10" s="97" t="s">
        <v>6</v>
      </c>
      <c r="E10" s="97" t="s">
        <v>7</v>
      </c>
      <c r="F10" s="80" t="s">
        <v>8</v>
      </c>
      <c r="G10" s="80" t="s">
        <v>9</v>
      </c>
      <c r="H10" s="80" t="s">
        <v>10</v>
      </c>
      <c r="I10" s="80" t="s">
        <v>11</v>
      </c>
      <c r="J10" s="80" t="s">
        <v>12</v>
      </c>
      <c r="K10" s="80" t="s">
        <v>13</v>
      </c>
      <c r="L10" s="80" t="s">
        <v>14</v>
      </c>
      <c r="M10" s="80" t="s">
        <v>15</v>
      </c>
      <c r="N10" s="80" t="s">
        <v>16</v>
      </c>
      <c r="O10" s="80" t="s">
        <v>17</v>
      </c>
    </row>
    <row r="11" spans="2:15" ht="15.6" x14ac:dyDescent="0.3">
      <c r="B11" s="153" t="s">
        <v>19</v>
      </c>
      <c r="C11" s="166">
        <v>0.66</v>
      </c>
      <c r="D11" s="166">
        <v>2.17</v>
      </c>
      <c r="E11" s="166">
        <v>2.1800000000000002</v>
      </c>
      <c r="F11" s="166">
        <v>2.95</v>
      </c>
      <c r="G11" s="166">
        <v>3.81</v>
      </c>
      <c r="H11" s="166">
        <v>2.57</v>
      </c>
      <c r="I11" s="166">
        <v>2.98</v>
      </c>
      <c r="J11" s="166">
        <v>3.86</v>
      </c>
      <c r="K11" s="166">
        <v>2.69</v>
      </c>
      <c r="L11" s="166">
        <v>1.73</v>
      </c>
      <c r="M11" s="166">
        <v>1.22</v>
      </c>
      <c r="N11" s="166">
        <v>1.02</v>
      </c>
      <c r="O11" s="81">
        <f>SUM(C11:N11)/12</f>
        <v>2.3199999999999998</v>
      </c>
    </row>
    <row r="12" spans="2:15" ht="15.6" x14ac:dyDescent="0.3">
      <c r="B12" s="153" t="s">
        <v>20</v>
      </c>
      <c r="C12" s="166">
        <v>0.55000000000000004</v>
      </c>
      <c r="D12" s="166">
        <v>1.44</v>
      </c>
      <c r="E12" s="166">
        <v>1.67</v>
      </c>
      <c r="F12" s="166">
        <v>2.29</v>
      </c>
      <c r="G12" s="166">
        <v>2.59</v>
      </c>
      <c r="H12" s="166">
        <v>2.52</v>
      </c>
      <c r="I12" s="166">
        <v>2.66</v>
      </c>
      <c r="J12" s="166">
        <v>2.46</v>
      </c>
      <c r="K12" s="166">
        <v>2.06</v>
      </c>
      <c r="L12" s="166">
        <v>1.5</v>
      </c>
      <c r="M12" s="166">
        <v>1.04</v>
      </c>
      <c r="N12" s="166">
        <v>0.8</v>
      </c>
      <c r="O12" s="81">
        <f>SUM(C12:N12)/12</f>
        <v>1.7983333333333331</v>
      </c>
    </row>
    <row r="13" spans="2:15" ht="15.6" x14ac:dyDescent="0.25">
      <c r="B13" s="154"/>
      <c r="C13" s="161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81"/>
    </row>
    <row r="14" spans="2:15" ht="15.6" x14ac:dyDescent="0.3">
      <c r="B14" s="153" t="s">
        <v>54</v>
      </c>
      <c r="C14" s="167">
        <v>6.2</v>
      </c>
      <c r="D14" s="167">
        <v>6.5</v>
      </c>
      <c r="E14" s="167">
        <v>8.1</v>
      </c>
      <c r="F14" s="167">
        <v>9.5</v>
      </c>
      <c r="G14" s="167">
        <v>11</v>
      </c>
      <c r="H14" s="167">
        <v>13</v>
      </c>
      <c r="I14" s="167">
        <v>14</v>
      </c>
      <c r="J14" s="167">
        <v>14</v>
      </c>
      <c r="K14" s="167">
        <v>13</v>
      </c>
      <c r="L14" s="167">
        <v>10</v>
      </c>
      <c r="M14" s="167">
        <v>8.1</v>
      </c>
      <c r="N14" s="167">
        <v>6.7</v>
      </c>
      <c r="O14" s="82">
        <f>SUM(C14:N14)/12</f>
        <v>10.008333333333333</v>
      </c>
    </row>
    <row r="15" spans="2:15" ht="15.6" x14ac:dyDescent="0.3">
      <c r="B15" s="148"/>
      <c r="C15" s="15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2:15" ht="15.6" x14ac:dyDescent="0.3">
      <c r="B16" s="395" t="s">
        <v>94</v>
      </c>
      <c r="C16" s="162">
        <v>90</v>
      </c>
      <c r="D16" s="162">
        <v>100</v>
      </c>
      <c r="E16" s="162">
        <v>80</v>
      </c>
      <c r="F16" s="162">
        <v>60</v>
      </c>
      <c r="G16" s="162">
        <v>50</v>
      </c>
      <c r="H16" s="162">
        <v>30</v>
      </c>
      <c r="I16" s="162">
        <v>20</v>
      </c>
      <c r="J16" s="162">
        <v>20</v>
      </c>
      <c r="K16" s="162">
        <v>30</v>
      </c>
      <c r="L16" s="162">
        <v>50</v>
      </c>
      <c r="M16" s="162">
        <v>60</v>
      </c>
      <c r="N16" s="162">
        <v>90</v>
      </c>
      <c r="O16" s="79"/>
    </row>
    <row r="17" spans="2:15" ht="15.6" x14ac:dyDescent="0.3">
      <c r="B17" s="396" t="s">
        <v>53</v>
      </c>
      <c r="C17" s="397">
        <v>31</v>
      </c>
      <c r="D17" s="398">
        <v>28</v>
      </c>
      <c r="E17" s="398">
        <v>31</v>
      </c>
      <c r="F17" s="398">
        <v>30</v>
      </c>
      <c r="G17" s="398">
        <v>31</v>
      </c>
      <c r="H17" s="398">
        <v>30</v>
      </c>
      <c r="I17" s="398">
        <v>31</v>
      </c>
      <c r="J17" s="398">
        <v>31</v>
      </c>
      <c r="K17" s="398">
        <v>30</v>
      </c>
      <c r="L17" s="398">
        <v>31</v>
      </c>
      <c r="M17" s="398">
        <v>30</v>
      </c>
      <c r="N17" s="398">
        <v>31</v>
      </c>
      <c r="O17" s="79"/>
    </row>
    <row r="18" spans="2:15" ht="15.6" x14ac:dyDescent="0.3">
      <c r="B18" s="155"/>
      <c r="C18" s="163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79"/>
    </row>
    <row r="19" spans="2:15" ht="15" x14ac:dyDescent="0.25">
      <c r="B19" s="146"/>
      <c r="C19" s="15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2:15" ht="15.6" x14ac:dyDescent="0.3">
      <c r="B20" s="156" t="s">
        <v>95</v>
      </c>
      <c r="C20" s="164">
        <v>19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2:15" ht="15" x14ac:dyDescent="0.25">
      <c r="B21" s="157" t="s">
        <v>25</v>
      </c>
      <c r="C21" s="165">
        <v>0.3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3" spans="2:15" ht="15.6" x14ac:dyDescent="0.3">
      <c r="B23" s="174" t="s">
        <v>101</v>
      </c>
      <c r="C23" s="175"/>
      <c r="D23" s="176"/>
      <c r="E23" s="176"/>
      <c r="F23" s="176"/>
    </row>
    <row r="24" spans="2:15" ht="15.6" x14ac:dyDescent="0.3">
      <c r="B24" s="177" t="s">
        <v>102</v>
      </c>
      <c r="C24" s="178">
        <v>20000</v>
      </c>
      <c r="D24" s="179" t="s">
        <v>103</v>
      </c>
      <c r="E24" s="180" t="s">
        <v>104</v>
      </c>
      <c r="F24" s="181">
        <v>0.35</v>
      </c>
    </row>
    <row r="25" spans="2:15" ht="15.6" x14ac:dyDescent="0.3">
      <c r="B25" s="182" t="s">
        <v>105</v>
      </c>
      <c r="C25" s="183">
        <v>5000</v>
      </c>
      <c r="D25" s="179" t="s">
        <v>103</v>
      </c>
      <c r="E25" s="184"/>
      <c r="F25" s="184"/>
    </row>
    <row r="26" spans="2:15" ht="15.6" x14ac:dyDescent="0.3">
      <c r="B26" s="185"/>
      <c r="C26" s="186"/>
      <c r="D26" s="187"/>
      <c r="E26" s="184"/>
      <c r="F26" s="184"/>
    </row>
    <row r="27" spans="2:15" ht="15.6" x14ac:dyDescent="0.3">
      <c r="B27" s="188" t="s">
        <v>106</v>
      </c>
      <c r="C27" s="189">
        <f>C25+C24*(1-F24)</f>
        <v>18000</v>
      </c>
      <c r="D27" s="190" t="s">
        <v>103</v>
      </c>
      <c r="E27" s="184"/>
      <c r="F27" s="184"/>
    </row>
    <row r="28" spans="2:15" ht="15.6" x14ac:dyDescent="0.3">
      <c r="B28" s="191" t="s">
        <v>107</v>
      </c>
      <c r="C28" s="192">
        <v>1.2E-2</v>
      </c>
      <c r="D28" s="193"/>
      <c r="E28" s="184"/>
      <c r="F28" s="184"/>
    </row>
    <row r="29" spans="2:15" ht="15.6" x14ac:dyDescent="0.3">
      <c r="B29" s="191" t="s">
        <v>108</v>
      </c>
      <c r="C29" s="183">
        <v>10</v>
      </c>
      <c r="D29" s="193" t="s">
        <v>109</v>
      </c>
      <c r="E29" s="194"/>
      <c r="F29" s="194"/>
    </row>
    <row r="30" spans="2:15" ht="15.6" x14ac:dyDescent="0.3">
      <c r="B30" s="195"/>
      <c r="C30" s="196"/>
      <c r="D30" s="196"/>
      <c r="E30" s="197"/>
      <c r="F30" s="194"/>
    </row>
    <row r="31" spans="2:15" ht="15.6" x14ac:dyDescent="0.3">
      <c r="B31" s="177" t="s">
        <v>110</v>
      </c>
      <c r="C31" s="198">
        <v>0.01</v>
      </c>
      <c r="D31" s="199">
        <v>0.03</v>
      </c>
      <c r="E31" s="200">
        <v>0.05</v>
      </c>
    </row>
    <row r="32" spans="2:15" ht="15.6" x14ac:dyDescent="0.3">
      <c r="B32" s="201"/>
      <c r="C32" s="202"/>
      <c r="D32" s="203"/>
      <c r="E32" s="194"/>
    </row>
    <row r="33" spans="2:5" ht="15.6" x14ac:dyDescent="0.3">
      <c r="B33" s="177" t="s">
        <v>111</v>
      </c>
      <c r="C33" s="204">
        <v>0.14000000000000001</v>
      </c>
      <c r="D33" s="205" t="s">
        <v>112</v>
      </c>
      <c r="E33" s="206"/>
    </row>
    <row r="34" spans="2:5" ht="15.6" x14ac:dyDescent="0.3">
      <c r="B34" s="207"/>
      <c r="C34" s="207"/>
      <c r="D34" s="203"/>
      <c r="E34" s="194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topLeftCell="A4" zoomScale="120" zoomScaleNormal="120" workbookViewId="0">
      <selection activeCell="C5" sqref="C5"/>
    </sheetView>
  </sheetViews>
  <sheetFormatPr baseColWidth="10" defaultRowHeight="13.8" x14ac:dyDescent="0.25"/>
  <cols>
    <col min="1" max="1" width="5.59765625" customWidth="1"/>
    <col min="2" max="2" width="41.69921875" bestFit="1" customWidth="1"/>
    <col min="3" max="3" width="8" customWidth="1"/>
    <col min="4" max="4" width="8.59765625" customWidth="1"/>
    <col min="5" max="5" width="22.19921875" bestFit="1" customWidth="1"/>
    <col min="6" max="6" width="10.59765625" customWidth="1"/>
    <col min="7" max="7" width="5" bestFit="1" customWidth="1"/>
    <col min="11" max="11" width="12.8984375" customWidth="1"/>
    <col min="12" max="12" width="14.69921875" customWidth="1"/>
    <col min="13" max="13" width="25.8984375" customWidth="1"/>
    <col min="14" max="14" width="7.09765625" customWidth="1"/>
    <col min="15" max="15" width="6.5" customWidth="1"/>
  </cols>
  <sheetData>
    <row r="1" spans="1:10" s="57" customFormat="1" x14ac:dyDescent="0.25">
      <c r="A1" s="95"/>
      <c r="B1" s="96"/>
      <c r="C1" s="96"/>
      <c r="D1" s="96"/>
      <c r="E1" s="96"/>
      <c r="F1" s="96"/>
      <c r="G1" s="96"/>
      <c r="H1" s="96"/>
      <c r="I1" s="96"/>
      <c r="J1" s="96"/>
    </row>
    <row r="2" spans="1:10" ht="17.399999999999999" x14ac:dyDescent="0.3">
      <c r="B2" s="137" t="s">
        <v>79</v>
      </c>
      <c r="D2" s="106" t="s">
        <v>55</v>
      </c>
      <c r="E2" s="123" t="str">
        <f>Données!C2</f>
        <v>OPZOEK Bât E</v>
      </c>
    </row>
    <row r="3" spans="1:10" ht="15" x14ac:dyDescent="0.25">
      <c r="B3" s="79"/>
      <c r="D3" s="106" t="s">
        <v>56</v>
      </c>
      <c r="E3" s="107">
        <f>Données!D2</f>
        <v>44454</v>
      </c>
    </row>
    <row r="5" spans="1:10" x14ac:dyDescent="0.25">
      <c r="B5" s="112" t="s">
        <v>74</v>
      </c>
      <c r="C5" s="115">
        <f>Résumé_BE!C8</f>
        <v>30114.285714285714</v>
      </c>
      <c r="D5" s="116" t="s">
        <v>73</v>
      </c>
      <c r="E5" s="112" t="str">
        <f>Résumé_BE!E8</f>
        <v xml:space="preserve">Propane </v>
      </c>
      <c r="F5" s="115">
        <f>Résumé_BE!F8</f>
        <v>2352.6785714285711</v>
      </c>
      <c r="G5" s="108" t="str">
        <f>Résumé_BE!G8</f>
        <v>kg/an</v>
      </c>
    </row>
    <row r="6" spans="1:10" x14ac:dyDescent="0.25">
      <c r="B6" s="112" t="s">
        <v>77</v>
      </c>
      <c r="C6" s="115">
        <f>Résumé_BE!C15</f>
        <v>17842.26805928057</v>
      </c>
      <c r="D6" s="116" t="s">
        <v>73</v>
      </c>
      <c r="E6" s="113" t="str">
        <f>Résumé_BE!E15</f>
        <v xml:space="preserve">Economie de propane </v>
      </c>
      <c r="F6" s="119">
        <f>Résumé_BE!F15</f>
        <v>1393.9271921312945</v>
      </c>
      <c r="G6" s="118" t="str">
        <f>Résumé_BE!G15</f>
        <v>kg/an</v>
      </c>
    </row>
    <row r="7" spans="1:10" x14ac:dyDescent="0.25">
      <c r="B7" s="112" t="s">
        <v>78</v>
      </c>
      <c r="C7" s="120">
        <f>Résumé_BE!C14</f>
        <v>0.59248518223417457</v>
      </c>
      <c r="D7" s="116"/>
      <c r="E7" s="114"/>
      <c r="F7" s="117"/>
      <c r="G7" s="109"/>
    </row>
    <row r="8" spans="1:10" x14ac:dyDescent="0.25">
      <c r="B8" s="112" t="s">
        <v>75</v>
      </c>
      <c r="C8" s="121">
        <f>Résumé_BE!C17</f>
        <v>4103.7216536345313</v>
      </c>
      <c r="D8" s="122" t="s">
        <v>43</v>
      </c>
      <c r="E8" s="110"/>
      <c r="F8" s="110"/>
      <c r="G8" s="111"/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9"/>
  <sheetViews>
    <sheetView zoomScaleNormal="100" workbookViewId="0">
      <selection activeCell="J43" sqref="J43"/>
    </sheetView>
  </sheetViews>
  <sheetFormatPr baseColWidth="10" defaultColWidth="11" defaultRowHeight="13.2" x14ac:dyDescent="0.25"/>
  <cols>
    <col min="1" max="5" width="11" style="265"/>
    <col min="6" max="6" width="8.5" style="265" customWidth="1"/>
    <col min="7" max="7" width="8.59765625" style="265" customWidth="1"/>
    <col min="8" max="8" width="9" style="265" customWidth="1"/>
    <col min="9" max="11" width="11" style="265"/>
    <col min="12" max="12" width="11.09765625" style="265" bestFit="1" customWidth="1"/>
    <col min="13" max="13" width="11.59765625" style="265" customWidth="1"/>
    <col min="14" max="14" width="13" style="265" customWidth="1"/>
    <col min="15" max="15" width="11" style="265" customWidth="1"/>
    <col min="16" max="16" width="14.8984375" style="265" customWidth="1"/>
    <col min="17" max="16384" width="11" style="265"/>
  </cols>
  <sheetData>
    <row r="2" spans="2:16" ht="15.6" x14ac:dyDescent="0.3">
      <c r="B2" s="316"/>
      <c r="C2" s="277"/>
      <c r="D2" s="277"/>
      <c r="E2" s="315" t="str">
        <f>'calcul-ROIC'!D13</f>
        <v>Augementation du prix d'énergie par an</v>
      </c>
      <c r="F2" s="314">
        <f>'calcul-ROIC'!E13</f>
        <v>0.01</v>
      </c>
      <c r="G2" s="313">
        <f>'calcul-ROIC'!F13</f>
        <v>0.03</v>
      </c>
      <c r="H2" s="312">
        <f>'calcul-ROIC'!G13</f>
        <v>0.05</v>
      </c>
    </row>
    <row r="5" spans="2:16" ht="15.6" x14ac:dyDescent="0.3">
      <c r="K5" s="266"/>
      <c r="L5" s="311" t="s">
        <v>137</v>
      </c>
      <c r="O5" s="266"/>
      <c r="P5" s="266"/>
    </row>
    <row r="6" spans="2:16" ht="15" x14ac:dyDescent="0.25">
      <c r="K6" s="266"/>
      <c r="L6" s="266"/>
      <c r="M6" s="266"/>
      <c r="P6" s="266"/>
    </row>
    <row r="7" spans="2:16" ht="15.6" x14ac:dyDescent="0.3">
      <c r="K7" s="310" t="s">
        <v>136</v>
      </c>
      <c r="L7" s="309" t="str">
        <f>Données!C2</f>
        <v>OPZOEK Bât E</v>
      </c>
      <c r="N7" s="308" t="s">
        <v>135</v>
      </c>
      <c r="O7" s="307">
        <f>Données!D2</f>
        <v>44454</v>
      </c>
    </row>
    <row r="8" spans="2:16" ht="15" x14ac:dyDescent="0.25">
      <c r="K8" s="266"/>
      <c r="L8" s="266"/>
      <c r="M8" s="266"/>
      <c r="N8" s="266"/>
      <c r="O8" s="266"/>
      <c r="P8" s="266"/>
    </row>
    <row r="9" spans="2:16" ht="15.6" x14ac:dyDescent="0.3">
      <c r="J9" s="272"/>
      <c r="K9" s="304"/>
      <c r="L9" s="288"/>
      <c r="M9" s="306" t="s">
        <v>134</v>
      </c>
      <c r="N9" s="305">
        <f>'calcul-ROIC'!G24</f>
        <v>7.2060025185280603</v>
      </c>
      <c r="O9" s="304" t="s">
        <v>133</v>
      </c>
      <c r="P9" s="267"/>
    </row>
    <row r="10" spans="2:16" ht="15.6" x14ac:dyDescent="0.3">
      <c r="J10" s="303"/>
      <c r="K10" s="302"/>
      <c r="L10" s="302"/>
      <c r="M10" s="301" t="s">
        <v>132</v>
      </c>
      <c r="N10" s="300">
        <f>'calcul-ROIC'!G25</f>
        <v>0.13877319601662666</v>
      </c>
      <c r="O10" s="299"/>
      <c r="P10" s="298"/>
    </row>
    <row r="11" spans="2:16" ht="15.6" x14ac:dyDescent="0.3">
      <c r="J11" s="282"/>
      <c r="K11" s="289"/>
      <c r="L11" s="289"/>
      <c r="M11" s="280" t="s">
        <v>77</v>
      </c>
      <c r="N11" s="297">
        <f>'calcul-ROIC'!E17</f>
        <v>0.59248518223417457</v>
      </c>
      <c r="O11" s="296"/>
      <c r="P11" s="295"/>
    </row>
    <row r="12" spans="2:16" ht="15.6" x14ac:dyDescent="0.3">
      <c r="J12" s="294"/>
      <c r="K12" s="293"/>
      <c r="L12" s="292"/>
      <c r="M12" s="291" t="s">
        <v>131</v>
      </c>
      <c r="N12" s="290">
        <f>'calcul-ROIC'!E9</f>
        <v>20000</v>
      </c>
      <c r="O12" s="289" t="s">
        <v>103</v>
      </c>
      <c r="P12" s="288"/>
    </row>
    <row r="13" spans="2:16" ht="15.6" x14ac:dyDescent="0.3">
      <c r="J13" s="287"/>
      <c r="K13" s="286"/>
      <c r="L13" s="286"/>
      <c r="M13" s="285" t="s">
        <v>130</v>
      </c>
      <c r="N13" s="284">
        <f>'calcul-ROIC'!E12*'calcul-ROIC'!E9</f>
        <v>7000</v>
      </c>
      <c r="O13" s="278" t="s">
        <v>103</v>
      </c>
      <c r="P13" s="283">
        <f>'calcul-ROIC'!E12</f>
        <v>0.35</v>
      </c>
    </row>
    <row r="14" spans="2:16" ht="15.6" x14ac:dyDescent="0.3">
      <c r="J14" s="282"/>
      <c r="K14" s="281"/>
      <c r="L14" s="281"/>
      <c r="M14" s="280" t="s">
        <v>129</v>
      </c>
      <c r="N14" s="279">
        <f>Données!C24</f>
        <v>20000</v>
      </c>
      <c r="O14" s="278" t="s">
        <v>103</v>
      </c>
      <c r="P14" s="277"/>
    </row>
    <row r="15" spans="2:16" ht="15" x14ac:dyDescent="0.25">
      <c r="J15" s="276"/>
      <c r="K15" s="274"/>
      <c r="L15" s="274"/>
      <c r="M15" s="274"/>
      <c r="N15" s="275"/>
      <c r="O15" s="274"/>
      <c r="P15" s="273"/>
    </row>
    <row r="16" spans="2:16" ht="15.6" x14ac:dyDescent="0.3">
      <c r="J16" s="272"/>
      <c r="K16" s="271"/>
      <c r="L16" s="271"/>
      <c r="M16" s="270" t="str">
        <f>[1]Données!A31</f>
        <v>Tarif d'énergie conventionnelle actuel</v>
      </c>
      <c r="N16" s="269">
        <f>'calcul-ROIC'!G15</f>
        <v>0.14000000000000001</v>
      </c>
      <c r="O16" s="268" t="str">
        <f>[1]Données!C31</f>
        <v>euro HT/ kWh</v>
      </c>
      <c r="P16" s="267"/>
    </row>
    <row r="19" spans="9:14" ht="15" x14ac:dyDescent="0.25">
      <c r="I19" s="266"/>
      <c r="J19" s="266"/>
      <c r="K19" s="266"/>
      <c r="L19" s="266"/>
      <c r="M19" s="266"/>
      <c r="N19" s="266"/>
    </row>
  </sheetData>
  <sheetProtection sheet="1" objects="1" scenarios="1" selectLockedCells="1" selectUnlockedCells="1"/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29"/>
  <sheetViews>
    <sheetView tabSelected="1" zoomScale="55" zoomScaleNormal="55" zoomScaleSheetLayoutView="25" workbookViewId="0">
      <selection activeCell="M43" sqref="M43"/>
    </sheetView>
  </sheetViews>
  <sheetFormatPr baseColWidth="10" defaultColWidth="11" defaultRowHeight="14.4" x14ac:dyDescent="0.3"/>
  <cols>
    <col min="1" max="1" width="11" style="176"/>
    <col min="2" max="2" width="4.69921875" style="176" customWidth="1"/>
    <col min="3" max="3" width="13.69921875" style="176" customWidth="1"/>
    <col min="4" max="4" width="21.5" style="176" customWidth="1"/>
    <col min="5" max="14" width="11" style="176"/>
    <col min="15" max="15" width="10.19921875" style="176" customWidth="1"/>
    <col min="16" max="16" width="17.19921875" style="176" customWidth="1"/>
    <col min="17" max="19" width="11" style="176"/>
    <col min="20" max="20" width="15.09765625" style="176" customWidth="1"/>
    <col min="21" max="21" width="11" style="176"/>
    <col min="22" max="22" width="14.09765625" style="176" customWidth="1"/>
    <col min="23" max="16384" width="11" style="176"/>
  </cols>
  <sheetData>
    <row r="3" spans="2:24" ht="25.8" x14ac:dyDescent="0.5">
      <c r="I3" s="264" t="s">
        <v>128</v>
      </c>
    </row>
    <row r="5" spans="2:24" ht="23.4" x14ac:dyDescent="0.45">
      <c r="B5" s="245"/>
      <c r="C5" s="263"/>
      <c r="D5" s="262" t="str">
        <f>'Calcul -financement'!C5</f>
        <v>Année</v>
      </c>
      <c r="E5" s="261">
        <f>'Calcul -financement'!D5</f>
        <v>1</v>
      </c>
      <c r="F5" s="261">
        <f>'Calcul -financement'!E5</f>
        <v>2</v>
      </c>
      <c r="G5" s="261">
        <f>'Calcul -financement'!F5</f>
        <v>3</v>
      </c>
      <c r="H5" s="261">
        <f>'Calcul -financement'!G5</f>
        <v>4</v>
      </c>
      <c r="I5" s="261">
        <f>'Calcul -financement'!H5</f>
        <v>5</v>
      </c>
      <c r="J5" s="261">
        <f>'Calcul -financement'!I5</f>
        <v>6</v>
      </c>
      <c r="K5" s="261">
        <f>'Calcul -financement'!J5</f>
        <v>7</v>
      </c>
      <c r="L5" s="261">
        <f>'Calcul -financement'!K5</f>
        <v>8</v>
      </c>
      <c r="M5" s="261">
        <f>'Calcul -financement'!L5</f>
        <v>9</v>
      </c>
      <c r="N5" s="261">
        <f>'Calcul -financement'!M5</f>
        <v>10</v>
      </c>
      <c r="O5" s="261">
        <f>'Calcul -financement'!N5</f>
        <v>11</v>
      </c>
      <c r="P5" s="261">
        <f>'Calcul -financement'!O5</f>
        <v>12</v>
      </c>
      <c r="Q5" s="261">
        <f>'Calcul -financement'!P5</f>
        <v>13</v>
      </c>
      <c r="R5" s="261">
        <f>'Calcul -financement'!Q5</f>
        <v>14</v>
      </c>
      <c r="S5" s="261">
        <f>'Calcul -financement'!R5</f>
        <v>15</v>
      </c>
      <c r="T5" s="261">
        <f>'Calcul -financement'!S5</f>
        <v>16</v>
      </c>
      <c r="U5" s="261">
        <f>'Calcul -financement'!T5</f>
        <v>17</v>
      </c>
      <c r="V5" s="261">
        <f>'Calcul -financement'!U5</f>
        <v>18</v>
      </c>
      <c r="W5" s="261">
        <f>'Calcul -financement'!V5</f>
        <v>19</v>
      </c>
      <c r="X5" s="261">
        <f>'Calcul -financement'!W5</f>
        <v>20</v>
      </c>
    </row>
    <row r="6" spans="2:24" ht="23.4" x14ac:dyDescent="0.45">
      <c r="B6" s="245"/>
      <c r="C6" s="252"/>
      <c r="D6" s="231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3"/>
    </row>
    <row r="7" spans="2:24" ht="23.4" x14ac:dyDescent="0.45">
      <c r="B7" s="245">
        <v>1</v>
      </c>
      <c r="C7" s="260" t="str">
        <f>'Calcul -financement'!B7</f>
        <v>Charge sans solaire</v>
      </c>
      <c r="D7" s="254"/>
      <c r="E7" s="253">
        <f>'Calcul -financement'!D7</f>
        <v>4216</v>
      </c>
      <c r="F7" s="253">
        <f>'Calcul -financement'!E7</f>
        <v>4342.4800000000005</v>
      </c>
      <c r="G7" s="253">
        <f>'Calcul -financement'!F7</f>
        <v>4472.7544000000007</v>
      </c>
      <c r="H7" s="253">
        <f>'Calcul -financement'!G7</f>
        <v>4606.9370320000007</v>
      </c>
      <c r="I7" s="253">
        <f>'Calcul -financement'!H7</f>
        <v>4745.1451429600011</v>
      </c>
      <c r="J7" s="253">
        <f>'Calcul -financement'!I7</f>
        <v>4887.4994972488012</v>
      </c>
      <c r="K7" s="253">
        <f>'Calcul -financement'!J7</f>
        <v>5034.1244821662649</v>
      </c>
      <c r="L7" s="253">
        <f>'Calcul -financement'!K7</f>
        <v>5185.1482166312526</v>
      </c>
      <c r="M7" s="253">
        <f>'Calcul -financement'!L7</f>
        <v>5340.7026631301906</v>
      </c>
      <c r="N7" s="253">
        <f>'Calcul -financement'!M7</f>
        <v>5500.9237430240964</v>
      </c>
      <c r="O7" s="253">
        <f>'Calcul -financement'!N7</f>
        <v>5665.9514553148192</v>
      </c>
      <c r="P7" s="253">
        <f>'Calcul -financement'!O7</f>
        <v>5835.929998974264</v>
      </c>
      <c r="Q7" s="253">
        <f>'Calcul -financement'!P7</f>
        <v>6011.0078989434924</v>
      </c>
      <c r="R7" s="253">
        <f>'Calcul -financement'!Q7</f>
        <v>6191.3381359117975</v>
      </c>
      <c r="S7" s="253">
        <f>'Calcul -financement'!R7</f>
        <v>6377.0782799891513</v>
      </c>
      <c r="T7" s="253">
        <f>'Calcul -financement'!S7</f>
        <v>6568.3906283888264</v>
      </c>
      <c r="U7" s="253">
        <f>'Calcul -financement'!T7</f>
        <v>6765.4423472404915</v>
      </c>
      <c r="V7" s="253">
        <f>'Calcul -financement'!U7</f>
        <v>6968.405617657706</v>
      </c>
      <c r="W7" s="253">
        <f>'Calcul -financement'!V7</f>
        <v>7177.4577861874377</v>
      </c>
      <c r="X7" s="253">
        <f>'Calcul -financement'!W7</f>
        <v>7392.7815197730606</v>
      </c>
    </row>
    <row r="8" spans="2:24" ht="23.4" x14ac:dyDescent="0.45">
      <c r="B8" s="245"/>
      <c r="C8" s="252"/>
      <c r="D8" s="251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49"/>
    </row>
    <row r="9" spans="2:24" ht="23.4" x14ac:dyDescent="0.45">
      <c r="B9" s="245">
        <v>2</v>
      </c>
      <c r="C9" s="259" t="str">
        <f>'Calcul -financement'!B9</f>
        <v xml:space="preserve">Remboursement emprunt </v>
      </c>
      <c r="D9" s="257"/>
      <c r="E9" s="256">
        <f>'Calcul -financement'!D9</f>
        <v>1380.2087385295304</v>
      </c>
      <c r="F9" s="256">
        <f>'Calcul -financement'!E9</f>
        <v>1380.2087385295304</v>
      </c>
      <c r="G9" s="256">
        <f>'Calcul -financement'!F9</f>
        <v>1380.2087385295304</v>
      </c>
      <c r="H9" s="256">
        <f>'Calcul -financement'!G9</f>
        <v>1380.2087385295304</v>
      </c>
      <c r="I9" s="256">
        <f>'Calcul -financement'!H9</f>
        <v>1380.2087385295304</v>
      </c>
      <c r="J9" s="256">
        <f>'Calcul -financement'!I9</f>
        <v>1380.2087385295304</v>
      </c>
      <c r="K9" s="256">
        <f>'Calcul -financement'!J9</f>
        <v>1380.2087385295304</v>
      </c>
      <c r="L9" s="256">
        <f>'Calcul -financement'!K9</f>
        <v>1380.2087385295304</v>
      </c>
      <c r="M9" s="256">
        <f>'Calcul -financement'!L9</f>
        <v>1380.2087385295304</v>
      </c>
      <c r="N9" s="256">
        <f>'Calcul -financement'!M9</f>
        <v>1380.2087385295304</v>
      </c>
      <c r="O9" s="256">
        <f>'Calcul -financement'!N9</f>
        <v>0</v>
      </c>
      <c r="P9" s="256">
        <f>'Calcul -financement'!O9</f>
        <v>0</v>
      </c>
      <c r="Q9" s="256">
        <f>'Calcul -financement'!P9</f>
        <v>0</v>
      </c>
      <c r="R9" s="256">
        <f>'Calcul -financement'!Q9</f>
        <v>0</v>
      </c>
      <c r="S9" s="256">
        <f>'Calcul -financement'!R9</f>
        <v>0</v>
      </c>
      <c r="T9" s="256">
        <f>'Calcul -financement'!S9</f>
        <v>0</v>
      </c>
      <c r="U9" s="256">
        <f>'Calcul -financement'!T9</f>
        <v>0</v>
      </c>
      <c r="V9" s="256">
        <f>'Calcul -financement'!U9</f>
        <v>0</v>
      </c>
      <c r="W9" s="256">
        <f>'Calcul -financement'!V9</f>
        <v>0</v>
      </c>
      <c r="X9" s="256">
        <f>'Calcul -financement'!W9</f>
        <v>0</v>
      </c>
    </row>
    <row r="10" spans="2:24" ht="23.4" x14ac:dyDescent="0.45">
      <c r="B10" s="245">
        <v>3</v>
      </c>
      <c r="C10" s="258" t="str">
        <f>'Calcul -financement'!B10</f>
        <v>Gaz restant à acheter</v>
      </c>
      <c r="D10" s="257"/>
      <c r="E10" s="256">
        <f>'Calcul -financement'!D10</f>
        <v>1718.0824717007201</v>
      </c>
      <c r="F10" s="256">
        <f>'Calcul -financement'!E10</f>
        <v>1769.6249458517418</v>
      </c>
      <c r="G10" s="256">
        <f>'Calcul -financement'!F10</f>
        <v>1822.7136942272941</v>
      </c>
      <c r="H10" s="256">
        <f>'Calcul -financement'!G10</f>
        <v>1877.3951050541129</v>
      </c>
      <c r="I10" s="256">
        <f>'Calcul -financement'!H10</f>
        <v>1933.7169582057363</v>
      </c>
      <c r="J10" s="256">
        <f>'Calcul -financement'!I10</f>
        <v>1991.7284669519086</v>
      </c>
      <c r="K10" s="256">
        <f>'Calcul -financement'!J10</f>
        <v>2051.4803209604661</v>
      </c>
      <c r="L10" s="256">
        <f>'Calcul -financement'!K10</f>
        <v>2113.0247305892799</v>
      </c>
      <c r="M10" s="256">
        <f>'Calcul -financement'!L10</f>
        <v>2176.4154725069584</v>
      </c>
      <c r="N10" s="256">
        <f>'Calcul -financement'!M10</f>
        <v>2241.7079366821672</v>
      </c>
      <c r="O10" s="256">
        <f>'Calcul -financement'!N10</f>
        <v>2308.9591747826321</v>
      </c>
      <c r="P10" s="256">
        <f>'Calcul -financement'!O10</f>
        <v>2378.2279500261111</v>
      </c>
      <c r="Q10" s="256">
        <f>'Calcul -financement'!P10</f>
        <v>2449.5747885268943</v>
      </c>
      <c r="R10" s="256">
        <f>'Calcul -financement'!Q10</f>
        <v>2523.0620321827014</v>
      </c>
      <c r="S10" s="256">
        <f>'Calcul -financement'!R10</f>
        <v>2598.7538931481827</v>
      </c>
      <c r="T10" s="256">
        <f>'Calcul -financement'!S10</f>
        <v>2676.7165099426284</v>
      </c>
      <c r="U10" s="256">
        <f>'Calcul -financement'!T10</f>
        <v>2757.0180052409073</v>
      </c>
      <c r="V10" s="256">
        <f>'Calcul -financement'!U10</f>
        <v>2839.7285453981344</v>
      </c>
      <c r="W10" s="256">
        <f>'Calcul -financement'!V10</f>
        <v>2924.9204017600787</v>
      </c>
      <c r="X10" s="256">
        <f>'Calcul -financement'!W10</f>
        <v>3012.6680138128813</v>
      </c>
    </row>
    <row r="11" spans="2:24" ht="23.4" x14ac:dyDescent="0.45">
      <c r="B11" s="245">
        <v>4</v>
      </c>
      <c r="C11" s="258" t="str">
        <f>'Calcul -financement'!B11</f>
        <v xml:space="preserve">Entretien du système </v>
      </c>
      <c r="D11" s="257"/>
      <c r="E11" s="256">
        <f>'Calcul -financement'!D11</f>
        <v>0</v>
      </c>
      <c r="F11" s="256">
        <f>'Calcul -financement'!E11</f>
        <v>0</v>
      </c>
      <c r="G11" s="256">
        <f>'Calcul -financement'!F11</f>
        <v>0</v>
      </c>
      <c r="H11" s="256">
        <f>'Calcul -financement'!G11</f>
        <v>0</v>
      </c>
      <c r="I11" s="256">
        <f>'Calcul -financement'!H11</f>
        <v>0</v>
      </c>
      <c r="J11" s="256">
        <f>'Calcul -financement'!I11</f>
        <v>200</v>
      </c>
      <c r="K11" s="256">
        <f>'Calcul -financement'!J11</f>
        <v>206</v>
      </c>
      <c r="L11" s="256">
        <f>'Calcul -financement'!K11</f>
        <v>212.18</v>
      </c>
      <c r="M11" s="256">
        <f>'Calcul -financement'!L11</f>
        <v>218.5454</v>
      </c>
      <c r="N11" s="256">
        <f>'Calcul -financement'!M11</f>
        <v>225.10176200000001</v>
      </c>
      <c r="O11" s="256">
        <f>'Calcul -financement'!N11</f>
        <v>231.85481486</v>
      </c>
      <c r="P11" s="256">
        <f>'Calcul -financement'!O11</f>
        <v>238.81045930580001</v>
      </c>
      <c r="Q11" s="256">
        <f>'Calcul -financement'!P11</f>
        <v>245.974773084974</v>
      </c>
      <c r="R11" s="256">
        <f>'Calcul -financement'!Q11</f>
        <v>253.35401627752324</v>
      </c>
      <c r="S11" s="256">
        <f>'Calcul -financement'!R11</f>
        <v>260.95463676584893</v>
      </c>
      <c r="T11" s="256">
        <f>'Calcul -financement'!S11</f>
        <v>268.78327586882443</v>
      </c>
      <c r="U11" s="256">
        <f>'Calcul -financement'!T11</f>
        <v>276.8467741448892</v>
      </c>
      <c r="V11" s="256">
        <f>'Calcul -financement'!U11</f>
        <v>285.15217736923586</v>
      </c>
      <c r="W11" s="256">
        <f>'Calcul -financement'!V11</f>
        <v>293.70674269031292</v>
      </c>
      <c r="X11" s="256">
        <f>'Calcul -financement'!W11</f>
        <v>302.5179449710223</v>
      </c>
    </row>
    <row r="12" spans="2:24" ht="23.4" x14ac:dyDescent="0.45">
      <c r="B12" s="245"/>
      <c r="C12" s="252"/>
      <c r="D12" s="251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49"/>
    </row>
    <row r="13" spans="2:24" ht="23.4" x14ac:dyDescent="0.45">
      <c r="B13" s="245">
        <v>5</v>
      </c>
      <c r="C13" s="255" t="str">
        <f>'Calcul -financement'!B13</f>
        <v>Charge avec solaire (2+3+4)</v>
      </c>
      <c r="D13" s="254"/>
      <c r="E13" s="253">
        <f>'Calcul -financement'!D13</f>
        <v>3098.2912102302507</v>
      </c>
      <c r="F13" s="253">
        <f>'Calcul -financement'!E13</f>
        <v>3149.8336843812722</v>
      </c>
      <c r="G13" s="253">
        <f>'Calcul -financement'!F13</f>
        <v>3202.9224327568245</v>
      </c>
      <c r="H13" s="253">
        <f>'Calcul -financement'!G13</f>
        <v>3257.6038435836435</v>
      </c>
      <c r="I13" s="253">
        <f>'Calcul -financement'!H13</f>
        <v>3313.9256967352667</v>
      </c>
      <c r="J13" s="253">
        <f>'Calcul -financement'!I13</f>
        <v>3571.9372054814389</v>
      </c>
      <c r="K13" s="253">
        <f>'Calcul -financement'!J13</f>
        <v>3637.6890594899965</v>
      </c>
      <c r="L13" s="253">
        <f>'Calcul -financement'!K13</f>
        <v>3705.4134691188101</v>
      </c>
      <c r="M13" s="253">
        <f>'Calcul -financement'!L13</f>
        <v>3775.1696110364887</v>
      </c>
      <c r="N13" s="253">
        <f>'Calcul -financement'!M13</f>
        <v>3847.0184372116973</v>
      </c>
      <c r="O13" s="253">
        <f>'Calcul -financement'!N13</f>
        <v>2540.8139896426319</v>
      </c>
      <c r="P13" s="253">
        <f>'Calcul -financement'!O13</f>
        <v>2617.0384093319112</v>
      </c>
      <c r="Q13" s="253">
        <f>'Calcul -financement'!P13</f>
        <v>2695.5495616118683</v>
      </c>
      <c r="R13" s="253">
        <f>'Calcul -financement'!Q13</f>
        <v>2776.4160484602248</v>
      </c>
      <c r="S13" s="253">
        <f>'Calcul -financement'!R13</f>
        <v>2859.7085299140317</v>
      </c>
      <c r="T13" s="253">
        <f>'Calcul -financement'!S13</f>
        <v>2945.499785811453</v>
      </c>
      <c r="U13" s="253">
        <f>'Calcul -financement'!T13</f>
        <v>3033.8647793857963</v>
      </c>
      <c r="V13" s="253">
        <f>'Calcul -financement'!U13</f>
        <v>3124.8807227673701</v>
      </c>
      <c r="W13" s="253">
        <f>'Calcul -financement'!V13</f>
        <v>3218.6271444503918</v>
      </c>
      <c r="X13" s="253">
        <f>'Calcul -financement'!W13</f>
        <v>3315.1859587839035</v>
      </c>
    </row>
    <row r="14" spans="2:24" ht="23.4" x14ac:dyDescent="0.45">
      <c r="B14" s="245"/>
      <c r="C14" s="252"/>
      <c r="D14" s="251"/>
      <c r="E14" s="250">
        <f>'Calcul -financement'!D14</f>
        <v>0</v>
      </c>
      <c r="F14" s="250">
        <f>'Calcul -financement'!E14</f>
        <v>0</v>
      </c>
      <c r="G14" s="250">
        <f>'Calcul -financement'!F14</f>
        <v>0</v>
      </c>
      <c r="H14" s="250">
        <f>'Calcul -financement'!G14</f>
        <v>0</v>
      </c>
      <c r="I14" s="250">
        <f>'Calcul -financement'!H14</f>
        <v>0</v>
      </c>
      <c r="J14" s="250">
        <f>'Calcul -financement'!I14</f>
        <v>0</v>
      </c>
      <c r="K14" s="250">
        <f>'Calcul -financement'!J14</f>
        <v>0</v>
      </c>
      <c r="L14" s="250">
        <f>'Calcul -financement'!K14</f>
        <v>0</v>
      </c>
      <c r="M14" s="250">
        <f>'Calcul -financement'!L14</f>
        <v>0</v>
      </c>
      <c r="N14" s="250">
        <f>'Calcul -financement'!M14</f>
        <v>0</v>
      </c>
      <c r="O14" s="250">
        <f>'Calcul -financement'!N14</f>
        <v>0</v>
      </c>
      <c r="P14" s="250">
        <f>'Calcul -financement'!O14</f>
        <v>0</v>
      </c>
      <c r="Q14" s="250">
        <f>'Calcul -financement'!P14</f>
        <v>0</v>
      </c>
      <c r="R14" s="250">
        <f>'Calcul -financement'!Q14</f>
        <v>0</v>
      </c>
      <c r="S14" s="250">
        <f>'Calcul -financement'!R14</f>
        <v>0</v>
      </c>
      <c r="T14" s="250">
        <f>'Calcul -financement'!S14</f>
        <v>0</v>
      </c>
      <c r="U14" s="250">
        <f>'Calcul -financement'!T14</f>
        <v>0</v>
      </c>
      <c r="V14" s="250">
        <f>'Calcul -financement'!U14</f>
        <v>0</v>
      </c>
      <c r="W14" s="250">
        <f>'Calcul -financement'!V14</f>
        <v>0</v>
      </c>
      <c r="X14" s="249">
        <f>'Calcul -financement'!W14</f>
        <v>0</v>
      </c>
    </row>
    <row r="15" spans="2:24" ht="23.4" x14ac:dyDescent="0.45">
      <c r="B15" s="245">
        <v>6</v>
      </c>
      <c r="C15" s="248" t="str">
        <f>'Calcul -financement'!B15</f>
        <v>Eco d'énergie (1-5) €HT/an</v>
      </c>
      <c r="D15" s="247"/>
      <c r="E15" s="246">
        <f>'Calcul -financement'!D15</f>
        <v>1117.7087897697493</v>
      </c>
      <c r="F15" s="246">
        <f>'Calcul -financement'!E15</f>
        <v>1192.6463156187283</v>
      </c>
      <c r="G15" s="246">
        <f>'Calcul -financement'!F15</f>
        <v>1269.8319672431762</v>
      </c>
      <c r="H15" s="246">
        <f>'Calcul -financement'!G15</f>
        <v>1349.3331884163572</v>
      </c>
      <c r="I15" s="246">
        <f>'Calcul -financement'!H15</f>
        <v>1431.2194462247344</v>
      </c>
      <c r="J15" s="246">
        <f>'Calcul -financement'!I15</f>
        <v>1315.5622917673622</v>
      </c>
      <c r="K15" s="246">
        <f>'Calcul -financement'!J15</f>
        <v>1396.4354226762684</v>
      </c>
      <c r="L15" s="246">
        <f>'Calcul -financement'!K15</f>
        <v>1479.7347475124425</v>
      </c>
      <c r="M15" s="246">
        <f>'Calcul -financement'!L15</f>
        <v>1565.5330520937018</v>
      </c>
      <c r="N15" s="246">
        <f>'Calcul -financement'!M15</f>
        <v>1653.9053058123991</v>
      </c>
      <c r="O15" s="246">
        <f>'Calcul -financement'!N15</f>
        <v>3125.1374656721873</v>
      </c>
      <c r="P15" s="246">
        <f>'Calcul -financement'!O15</f>
        <v>3218.8915896423528</v>
      </c>
      <c r="Q15" s="246">
        <f>'Calcul -financement'!P15</f>
        <v>3315.4583373316241</v>
      </c>
      <c r="R15" s="246">
        <f>'Calcul -financement'!Q15</f>
        <v>3414.9220874515727</v>
      </c>
      <c r="S15" s="246">
        <f>'Calcul -financement'!R15</f>
        <v>3517.3697500751196</v>
      </c>
      <c r="T15" s="246">
        <f>'Calcul -financement'!S15</f>
        <v>3622.8908425773734</v>
      </c>
      <c r="U15" s="246">
        <f>'Calcul -financement'!T15</f>
        <v>3731.5775678546952</v>
      </c>
      <c r="V15" s="246">
        <f>'Calcul -financement'!U15</f>
        <v>3843.5248948903359</v>
      </c>
      <c r="W15" s="246">
        <f>'Calcul -financement'!V15</f>
        <v>3958.8306417370459</v>
      </c>
      <c r="X15" s="246">
        <f>'Calcul -financement'!W15</f>
        <v>4077.5955609891571</v>
      </c>
    </row>
    <row r="16" spans="2:24" ht="23.4" x14ac:dyDescent="0.45">
      <c r="B16" s="245">
        <v>7</v>
      </c>
      <c r="C16" s="244" t="str">
        <f>'Calcul -financement'!B16</f>
        <v>Eco d'énergie €HT /mois</v>
      </c>
      <c r="D16" s="243"/>
      <c r="E16" s="242">
        <f>'Calcul -financement'!D16</f>
        <v>93.142399147479111</v>
      </c>
      <c r="F16" s="242">
        <f>'Calcul -financement'!E16</f>
        <v>99.387192968227353</v>
      </c>
      <c r="G16" s="242">
        <f>'Calcul -financement'!F16</f>
        <v>105.81933060359802</v>
      </c>
      <c r="H16" s="242">
        <f>'Calcul -financement'!G16</f>
        <v>112.44443236802977</v>
      </c>
      <c r="I16" s="242">
        <f>'Calcul -financement'!H16</f>
        <v>119.26828718539453</v>
      </c>
      <c r="J16" s="242">
        <f>'Calcul -financement'!I16</f>
        <v>109.63019098061352</v>
      </c>
      <c r="K16" s="242">
        <f>'Calcul -financement'!J16</f>
        <v>116.3696185563557</v>
      </c>
      <c r="L16" s="242">
        <f>'Calcul -financement'!K16</f>
        <v>123.31122895937021</v>
      </c>
      <c r="M16" s="242">
        <f>'Calcul -financement'!L16</f>
        <v>130.46108767447515</v>
      </c>
      <c r="N16" s="242">
        <f>'Calcul -financement'!M16</f>
        <v>137.82544215103326</v>
      </c>
      <c r="O16" s="242">
        <f>'Calcul -financement'!N16</f>
        <v>260.42812213934894</v>
      </c>
      <c r="P16" s="242">
        <f>'Calcul -financement'!O16</f>
        <v>268.24096580352938</v>
      </c>
      <c r="Q16" s="242">
        <f>'Calcul -financement'!P16</f>
        <v>276.28819477763534</v>
      </c>
      <c r="R16" s="242">
        <f>'Calcul -financement'!Q16</f>
        <v>284.57684062096439</v>
      </c>
      <c r="S16" s="242">
        <f>'Calcul -financement'!R16</f>
        <v>293.11414583959328</v>
      </c>
      <c r="T16" s="242">
        <f>'Calcul -financement'!S16</f>
        <v>301.90757021478112</v>
      </c>
      <c r="U16" s="242">
        <f>'Calcul -financement'!T16</f>
        <v>310.96479732122458</v>
      </c>
      <c r="V16" s="242">
        <f>'Calcul -financement'!U16</f>
        <v>320.29374124086132</v>
      </c>
      <c r="W16" s="242">
        <f>'Calcul -financement'!V16</f>
        <v>329.90255347808716</v>
      </c>
      <c r="X16" s="242">
        <f>'Calcul -financement'!W16</f>
        <v>339.79963008242976</v>
      </c>
    </row>
    <row r="17" spans="3:23" x14ac:dyDescent="0.3">
      <c r="C17" s="241"/>
      <c r="D17" s="241"/>
    </row>
    <row r="21" spans="3:23" ht="25.8" x14ac:dyDescent="0.5">
      <c r="M21" s="220"/>
      <c r="N21" s="220"/>
      <c r="O21" s="220"/>
      <c r="P21" s="264" t="s">
        <v>128</v>
      </c>
      <c r="Q21" s="220"/>
      <c r="R21" s="220"/>
      <c r="S21" s="220"/>
      <c r="T21" s="220"/>
      <c r="U21" s="240" t="s">
        <v>127</v>
      </c>
      <c r="V21" s="239">
        <f>'Calcul -financement'!C7</f>
        <v>0.03</v>
      </c>
      <c r="W21" s="220"/>
    </row>
    <row r="22" spans="3:23" ht="23.4" x14ac:dyDescent="0.45">
      <c r="M22" s="220"/>
      <c r="N22" s="220"/>
      <c r="O22" s="220"/>
      <c r="P22" s="238" t="s">
        <v>126</v>
      </c>
      <c r="Q22" s="220" t="str">
        <f>Données!C2</f>
        <v>OPZOEK Bât E</v>
      </c>
      <c r="R22" s="220"/>
      <c r="S22" s="238" t="s">
        <v>125</v>
      </c>
      <c r="T22" s="237">
        <f>[1]Données!C2</f>
        <v>44342</v>
      </c>
      <c r="U22" s="220"/>
      <c r="V22" s="220"/>
      <c r="W22" s="220"/>
    </row>
    <row r="23" spans="3:23" ht="23.4" x14ac:dyDescent="0.45"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</row>
    <row r="24" spans="3:23" ht="23.4" x14ac:dyDescent="0.45">
      <c r="M24" s="219"/>
      <c r="N24" s="222"/>
      <c r="O24" s="217" t="s">
        <v>124</v>
      </c>
      <c r="P24" s="228">
        <f>Données!C24+Données!C25</f>
        <v>25000</v>
      </c>
      <c r="Q24" s="215" t="s">
        <v>103</v>
      </c>
      <c r="R24" s="220"/>
      <c r="S24" s="236"/>
      <c r="T24" s="235"/>
      <c r="U24" s="234" t="s">
        <v>123</v>
      </c>
      <c r="V24" s="233"/>
      <c r="W24" s="232"/>
    </row>
    <row r="25" spans="3:23" ht="23.4" x14ac:dyDescent="0.45">
      <c r="M25" s="227"/>
      <c r="N25" s="231"/>
      <c r="O25" s="225" t="s">
        <v>104</v>
      </c>
      <c r="P25" s="230">
        <f>'Calcul -financement'!Y6</f>
        <v>7000</v>
      </c>
      <c r="Q25" s="223" t="s">
        <v>103</v>
      </c>
      <c r="R25" s="220"/>
      <c r="S25" s="219"/>
      <c r="T25" s="218"/>
      <c r="U25" s="217" t="s">
        <v>122</v>
      </c>
      <c r="V25" s="216">
        <f>E15</f>
        <v>1117.7087897697493</v>
      </c>
      <c r="W25" s="229" t="s">
        <v>103</v>
      </c>
    </row>
    <row r="26" spans="3:23" ht="23.4" x14ac:dyDescent="0.45">
      <c r="M26" s="219"/>
      <c r="N26" s="222"/>
      <c r="O26" s="217" t="s">
        <v>106</v>
      </c>
      <c r="P26" s="228">
        <f>'Calcul -financement'!Y7</f>
        <v>13000</v>
      </c>
      <c r="Q26" s="215" t="s">
        <v>103</v>
      </c>
      <c r="R26" s="220"/>
      <c r="S26" s="227"/>
      <c r="T26" s="226"/>
      <c r="U26" s="225" t="s">
        <v>121</v>
      </c>
      <c r="V26" s="224">
        <f>J15</f>
        <v>1315.5622917673622</v>
      </c>
      <c r="W26" s="223" t="s">
        <v>103</v>
      </c>
    </row>
    <row r="27" spans="3:23" ht="23.4" x14ac:dyDescent="0.45">
      <c r="M27" s="219"/>
      <c r="N27" s="222"/>
      <c r="O27" s="217" t="s">
        <v>120</v>
      </c>
      <c r="P27" s="218">
        <f>'Calcul -financement'!Y8</f>
        <v>10</v>
      </c>
      <c r="Q27" s="215"/>
      <c r="R27" s="220"/>
      <c r="S27" s="219"/>
      <c r="T27" s="218"/>
      <c r="U27" s="217" t="s">
        <v>119</v>
      </c>
      <c r="V27" s="216">
        <f>O15</f>
        <v>3125.1374656721873</v>
      </c>
      <c r="W27" s="215" t="s">
        <v>103</v>
      </c>
    </row>
    <row r="28" spans="3:23" ht="23.4" x14ac:dyDescent="0.45">
      <c r="M28" s="219"/>
      <c r="N28" s="222"/>
      <c r="O28" s="217" t="s">
        <v>107</v>
      </c>
      <c r="P28" s="221">
        <f>'Calcul -financement'!Y9</f>
        <v>1.2E-2</v>
      </c>
      <c r="Q28" s="215"/>
      <c r="R28" s="220"/>
      <c r="S28" s="219"/>
      <c r="T28" s="218"/>
      <c r="U28" s="217" t="s">
        <v>118</v>
      </c>
      <c r="V28" s="216">
        <f>X15</f>
        <v>4077.5955609891571</v>
      </c>
      <c r="W28" s="215" t="s">
        <v>103</v>
      </c>
    </row>
    <row r="29" spans="3:23" ht="18" x14ac:dyDescent="0.35">
      <c r="R29" s="213"/>
      <c r="S29" s="214"/>
      <c r="T29" s="214"/>
      <c r="U29" s="214"/>
      <c r="V29" s="214"/>
      <c r="W29" s="213"/>
    </row>
  </sheetData>
  <sheetProtection sheet="1" objects="1" scenarios="1" selectLockedCells="1" selectUnlockedCells="1"/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zoomScale="101" zoomScaleNormal="140" workbookViewId="0">
      <selection activeCell="F36" sqref="F36"/>
    </sheetView>
  </sheetViews>
  <sheetFormatPr baseColWidth="10" defaultRowHeight="13.8" x14ac:dyDescent="0.25"/>
  <cols>
    <col min="1" max="1" width="4.19921875" customWidth="1"/>
    <col min="2" max="2" width="49.59765625" customWidth="1"/>
    <col min="3" max="3" width="11.19921875" customWidth="1"/>
    <col min="4" max="4" width="5.8984375" customWidth="1"/>
    <col min="5" max="5" width="55.5" customWidth="1"/>
    <col min="6" max="6" width="9.69921875" style="89" customWidth="1"/>
  </cols>
  <sheetData>
    <row r="2" spans="2:7" ht="15.6" x14ac:dyDescent="0.3">
      <c r="B2" s="51" t="s">
        <v>34</v>
      </c>
      <c r="C2" s="74">
        <f>'Calcul-Tech'!D3</f>
        <v>30</v>
      </c>
      <c r="D2" s="124"/>
      <c r="E2" s="52"/>
      <c r="F2" s="76"/>
      <c r="G2" s="57"/>
    </row>
    <row r="3" spans="2:7" ht="15.6" x14ac:dyDescent="0.3">
      <c r="B3" s="51" t="s">
        <v>35</v>
      </c>
      <c r="C3" s="74">
        <f>'Calcul-Tech'!D4</f>
        <v>5</v>
      </c>
      <c r="D3" s="124"/>
      <c r="E3" s="77" t="s">
        <v>47</v>
      </c>
      <c r="F3" s="77" t="s">
        <v>55</v>
      </c>
      <c r="G3" s="399" t="str">
        <f>Données!C2</f>
        <v>OPZOEK Bât E</v>
      </c>
    </row>
    <row r="4" spans="2:7" ht="15.6" x14ac:dyDescent="0.3">
      <c r="B4" s="51" t="s">
        <v>3</v>
      </c>
      <c r="C4" s="74">
        <f>'Calcul-Tech'!D5</f>
        <v>150</v>
      </c>
      <c r="D4" s="124"/>
      <c r="E4" s="76"/>
      <c r="F4" s="77" t="s">
        <v>56</v>
      </c>
      <c r="G4" s="133">
        <f>Données!D2</f>
        <v>44454</v>
      </c>
    </row>
    <row r="5" spans="2:7" ht="15.6" x14ac:dyDescent="0.3">
      <c r="B5" s="52"/>
      <c r="C5" s="63"/>
      <c r="D5" s="63"/>
      <c r="E5" s="52"/>
      <c r="F5" s="76"/>
      <c r="G5" s="57"/>
    </row>
    <row r="6" spans="2:7" ht="15.6" x14ac:dyDescent="0.3">
      <c r="B6" s="53" t="s">
        <v>31</v>
      </c>
      <c r="C6" s="58" t="s">
        <v>41</v>
      </c>
      <c r="D6" s="58"/>
      <c r="E6" s="58"/>
      <c r="F6" s="85"/>
      <c r="G6" s="75"/>
    </row>
    <row r="7" spans="2:7" ht="15.6" x14ac:dyDescent="0.3">
      <c r="B7" s="54" t="s">
        <v>96</v>
      </c>
      <c r="C7" s="64">
        <f>'Calcul-Tech'!P28</f>
        <v>21080</v>
      </c>
      <c r="D7" s="126"/>
      <c r="E7" s="59"/>
      <c r="F7" s="86"/>
      <c r="G7" s="75"/>
    </row>
    <row r="8" spans="2:7" ht="15.6" x14ac:dyDescent="0.3">
      <c r="B8" s="55" t="s">
        <v>36</v>
      </c>
      <c r="C8" s="65">
        <f>'Calcul-Tech'!P24</f>
        <v>30114.285714285714</v>
      </c>
      <c r="D8" s="127"/>
      <c r="E8" s="59" t="s">
        <v>50</v>
      </c>
      <c r="F8" s="87">
        <f>C8/12.8</f>
        <v>2352.6785714285711</v>
      </c>
      <c r="G8" s="84" t="s">
        <v>43</v>
      </c>
    </row>
    <row r="9" spans="2:7" ht="15.6" x14ac:dyDescent="0.3">
      <c r="B9" s="54" t="s">
        <v>80</v>
      </c>
      <c r="C9" s="64">
        <f>'Calcul-Tech'!P22</f>
        <v>21080</v>
      </c>
      <c r="D9" s="126" t="s">
        <v>67</v>
      </c>
      <c r="E9" s="59" t="s">
        <v>50</v>
      </c>
      <c r="F9" s="86">
        <f t="shared" ref="F9:F11" si="0">C9/12.8</f>
        <v>1646.875</v>
      </c>
      <c r="G9" s="84" t="s">
        <v>43</v>
      </c>
    </row>
    <row r="10" spans="2:7" ht="15.6" x14ac:dyDescent="0.3">
      <c r="B10" s="56" t="s">
        <v>81</v>
      </c>
      <c r="C10" s="66">
        <f>IF('Calcul-Tech'!P32&gt;'Calcul-Tech'!P22,'Calcul-Tech'!P22,'Calcul-Tech'!P32)</f>
        <v>12489.5876414964</v>
      </c>
      <c r="D10" s="128" t="s">
        <v>69</v>
      </c>
      <c r="E10" s="59" t="s">
        <v>50</v>
      </c>
      <c r="F10" s="87">
        <f t="shared" si="0"/>
        <v>975.74903449190629</v>
      </c>
      <c r="G10" s="84" t="s">
        <v>43</v>
      </c>
    </row>
    <row r="11" spans="2:7" ht="31.2" x14ac:dyDescent="0.3">
      <c r="B11" s="62" t="s">
        <v>37</v>
      </c>
      <c r="C11" s="65">
        <f>'Calcul-Tech'!P33</f>
        <v>11250.848549225477</v>
      </c>
      <c r="D11" s="127"/>
      <c r="E11" s="59" t="s">
        <v>50</v>
      </c>
      <c r="F11" s="87">
        <f t="shared" si="0"/>
        <v>878.97254290824037</v>
      </c>
      <c r="G11" s="84" t="s">
        <v>43</v>
      </c>
    </row>
    <row r="12" spans="2:7" ht="15.6" x14ac:dyDescent="0.3">
      <c r="B12" s="70" t="s">
        <v>38</v>
      </c>
      <c r="C12" s="67">
        <v>4</v>
      </c>
      <c r="D12" s="129"/>
      <c r="E12" s="61" t="s">
        <v>39</v>
      </c>
      <c r="F12" s="88">
        <f>C10/C12/C3</f>
        <v>624.47938207482002</v>
      </c>
      <c r="G12" s="134" t="s">
        <v>45</v>
      </c>
    </row>
    <row r="13" spans="2:7" ht="15.6" x14ac:dyDescent="0.3">
      <c r="B13" s="70" t="s">
        <v>57</v>
      </c>
      <c r="C13" s="67">
        <v>3</v>
      </c>
      <c r="D13" s="129"/>
      <c r="E13" s="61" t="s">
        <v>40</v>
      </c>
      <c r="F13" s="88">
        <f>C10/C3/C13</f>
        <v>832.63917609975999</v>
      </c>
      <c r="G13" s="134" t="s">
        <v>45</v>
      </c>
    </row>
    <row r="14" spans="2:7" ht="15.6" x14ac:dyDescent="0.3">
      <c r="B14" s="71" t="s">
        <v>84</v>
      </c>
      <c r="C14" s="72">
        <f>'Calcul-Tech'!P35</f>
        <v>0.59248518223417457</v>
      </c>
      <c r="D14" s="130" t="s">
        <v>82</v>
      </c>
      <c r="E14" s="61" t="s">
        <v>44</v>
      </c>
      <c r="F14" s="88">
        <f>C15/C3/C12</f>
        <v>892.11340296402852</v>
      </c>
      <c r="G14" s="134" t="s">
        <v>45</v>
      </c>
    </row>
    <row r="15" spans="2:7" ht="15.6" x14ac:dyDescent="0.3">
      <c r="B15" s="125" t="s">
        <v>85</v>
      </c>
      <c r="C15" s="68">
        <f>C14*C8</f>
        <v>17842.26805928057</v>
      </c>
      <c r="D15" s="131" t="s">
        <v>83</v>
      </c>
      <c r="E15" s="135" t="s">
        <v>42</v>
      </c>
      <c r="F15" s="136">
        <f>C15/12.8</f>
        <v>1393.9271921312945</v>
      </c>
      <c r="G15" s="83" t="s">
        <v>43</v>
      </c>
    </row>
    <row r="16" spans="2:7" ht="15.6" x14ac:dyDescent="0.3">
      <c r="B16" s="73"/>
      <c r="C16" s="68"/>
      <c r="D16" s="131"/>
    </row>
    <row r="17" spans="2:7" ht="15.6" x14ac:dyDescent="0.3">
      <c r="B17" s="60" t="s">
        <v>76</v>
      </c>
      <c r="C17" s="69">
        <f>C15*230/1000</f>
        <v>4103.7216536345313</v>
      </c>
      <c r="D17" s="132"/>
      <c r="E17" s="59"/>
      <c r="F17" s="86"/>
      <c r="G17" s="74"/>
    </row>
    <row r="20" spans="2:7" x14ac:dyDescent="0.25">
      <c r="C20" s="2"/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I39" sqref="I39"/>
    </sheetView>
  </sheetViews>
  <sheetFormatPr baseColWidth="10" defaultColWidth="10.8984375" defaultRowHeight="13.8" x14ac:dyDescent="0.25"/>
  <cols>
    <col min="1" max="1" width="24.09765625" style="1" bestFit="1" customWidth="1"/>
    <col min="2" max="2" width="4.8984375" style="1" bestFit="1" customWidth="1"/>
    <col min="3" max="3" width="10.19921875" style="1" bestFit="1" customWidth="1"/>
    <col min="4" max="4" width="7.8984375" style="1" customWidth="1"/>
    <col min="5" max="5" width="6" style="1" customWidth="1"/>
    <col min="6" max="6" width="7.59765625" style="1" customWidth="1"/>
    <col min="7" max="7" width="8.3984375" style="1" customWidth="1"/>
    <col min="8" max="8" width="8.09765625" style="1" customWidth="1"/>
    <col min="9" max="9" width="9.59765625" style="1" customWidth="1"/>
    <col min="10" max="10" width="9.09765625" style="1" customWidth="1"/>
    <col min="11" max="11" width="12" style="1" customWidth="1"/>
    <col min="12" max="12" width="7.59765625" style="1" customWidth="1"/>
    <col min="13" max="13" width="8" style="1" customWidth="1"/>
    <col min="14" max="14" width="7.8984375" style="1" customWidth="1"/>
    <col min="15" max="15" width="7" style="1" customWidth="1"/>
    <col min="16" max="16" width="9" style="1" customWidth="1"/>
    <col min="17" max="17" width="15" style="1" customWidth="1"/>
    <col min="18" max="18" width="8.3984375" style="1" customWidth="1"/>
    <col min="19" max="19" width="15.09765625" style="1" customWidth="1"/>
    <col min="20" max="16384" width="10.8984375" style="1"/>
  </cols>
  <sheetData>
    <row r="1" spans="1:16" x14ac:dyDescent="0.25">
      <c r="A1" s="3" t="s">
        <v>29</v>
      </c>
      <c r="B1" s="3"/>
      <c r="C1" s="3"/>
      <c r="D1" s="4" t="s">
        <v>0</v>
      </c>
      <c r="E1" s="4"/>
      <c r="F1" s="4"/>
      <c r="G1" s="4"/>
      <c r="H1" s="4"/>
      <c r="I1" s="4"/>
      <c r="L1" s="3"/>
      <c r="M1" s="3"/>
      <c r="N1" s="3"/>
      <c r="O1" s="3"/>
      <c r="P1" s="3"/>
    </row>
    <row r="2" spans="1:16" x14ac:dyDescent="0.25">
      <c r="A2" s="49" t="s">
        <v>32</v>
      </c>
      <c r="B2" s="49"/>
      <c r="C2" s="49"/>
      <c r="D2" s="48" t="str">
        <f>Données!C5</f>
        <v>xxx</v>
      </c>
      <c r="E2" s="48" t="str">
        <f>Données!D5</f>
        <v>kWh</v>
      </c>
      <c r="F2" s="48" t="str">
        <f>Données!E5</f>
        <v>gaz de ville</v>
      </c>
      <c r="G2" s="48">
        <f>Données!F5</f>
        <v>0</v>
      </c>
      <c r="H2" s="48">
        <f>Données!G5</f>
        <v>0</v>
      </c>
      <c r="I2" s="48">
        <f>Données!H5</f>
        <v>0</v>
      </c>
      <c r="J2" s="48"/>
      <c r="K2" s="48">
        <f>Données!J5</f>
        <v>25000</v>
      </c>
      <c r="L2" s="48"/>
      <c r="M2" s="48">
        <f>Données!L5</f>
        <v>0</v>
      </c>
      <c r="N2" s="48">
        <f>Données!M5</f>
        <v>0</v>
      </c>
      <c r="O2" s="3"/>
      <c r="P2" s="3"/>
    </row>
    <row r="3" spans="1:16" x14ac:dyDescent="0.25">
      <c r="A3" s="5" t="s">
        <v>27</v>
      </c>
      <c r="B3" s="5"/>
      <c r="C3" s="5"/>
      <c r="D3" s="44">
        <v>30</v>
      </c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4"/>
    </row>
    <row r="4" spans="1:16" x14ac:dyDescent="0.25">
      <c r="A4" s="5" t="s">
        <v>28</v>
      </c>
      <c r="B4" s="5"/>
      <c r="C4" s="5"/>
      <c r="D4" s="43">
        <f>Données!C7</f>
        <v>5</v>
      </c>
      <c r="E4" s="5"/>
      <c r="F4" s="5" t="s">
        <v>1</v>
      </c>
      <c r="G4" s="5"/>
      <c r="H4" s="6">
        <v>0.5</v>
      </c>
      <c r="I4" s="5"/>
      <c r="J4" s="5" t="s">
        <v>2</v>
      </c>
      <c r="K4" s="5"/>
      <c r="L4" s="5">
        <v>0.76910000000000001</v>
      </c>
      <c r="M4" s="5"/>
      <c r="N4" s="5"/>
      <c r="O4" s="4"/>
      <c r="P4" s="4"/>
    </row>
    <row r="5" spans="1:16" x14ac:dyDescent="0.25">
      <c r="A5" s="5" t="s">
        <v>3</v>
      </c>
      <c r="B5" s="5"/>
      <c r="C5" s="5"/>
      <c r="D5" s="44">
        <f>D3*D4</f>
        <v>150</v>
      </c>
      <c r="E5" s="5"/>
      <c r="F5" s="5" t="s">
        <v>4</v>
      </c>
      <c r="G5" s="5"/>
      <c r="H5" s="6">
        <v>0.8</v>
      </c>
      <c r="I5" s="5"/>
      <c r="J5" s="5" t="s">
        <v>22</v>
      </c>
      <c r="K5" s="5"/>
      <c r="L5" s="5">
        <v>1.3</v>
      </c>
      <c r="M5" s="5" t="s">
        <v>46</v>
      </c>
      <c r="N5" s="5"/>
      <c r="O5" s="4"/>
      <c r="P5" s="4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7" t="s">
        <v>51</v>
      </c>
      <c r="B7" s="7"/>
      <c r="C7" s="7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</row>
    <row r="8" spans="1:16" x14ac:dyDescent="0.25">
      <c r="A8" s="9" t="s">
        <v>18</v>
      </c>
      <c r="B8" s="9"/>
      <c r="C8" s="9"/>
      <c r="D8" s="10">
        <f t="shared" ref="D8:O8" si="0">D9+D10</f>
        <v>1.21</v>
      </c>
      <c r="E8" s="10">
        <f t="shared" si="0"/>
        <v>3.61</v>
      </c>
      <c r="F8" s="10">
        <f t="shared" si="0"/>
        <v>3.85</v>
      </c>
      <c r="G8" s="10">
        <f t="shared" si="0"/>
        <v>5.24</v>
      </c>
      <c r="H8" s="10">
        <f t="shared" si="0"/>
        <v>6.4</v>
      </c>
      <c r="I8" s="10">
        <f t="shared" si="0"/>
        <v>5.09</v>
      </c>
      <c r="J8" s="10">
        <f t="shared" si="0"/>
        <v>5.6400000000000006</v>
      </c>
      <c r="K8" s="10">
        <f t="shared" si="0"/>
        <v>6.32</v>
      </c>
      <c r="L8" s="10">
        <f t="shared" si="0"/>
        <v>4.75</v>
      </c>
      <c r="M8" s="10">
        <f t="shared" si="0"/>
        <v>3.23</v>
      </c>
      <c r="N8" s="10">
        <f t="shared" si="0"/>
        <v>2.2599999999999998</v>
      </c>
      <c r="O8" s="10">
        <f t="shared" si="0"/>
        <v>1.82</v>
      </c>
      <c r="P8" s="11">
        <f>SUM(D8:O8)/12</f>
        <v>4.1183333333333332</v>
      </c>
    </row>
    <row r="9" spans="1:16" ht="15.6" x14ac:dyDescent="0.25">
      <c r="A9" s="12" t="s">
        <v>19</v>
      </c>
      <c r="B9" s="101"/>
      <c r="C9" s="101"/>
      <c r="D9" s="33">
        <f>Données!C11</f>
        <v>0.66</v>
      </c>
      <c r="E9" s="33">
        <f>Données!D11</f>
        <v>2.17</v>
      </c>
      <c r="F9" s="33">
        <f>Données!E11</f>
        <v>2.1800000000000002</v>
      </c>
      <c r="G9" s="33">
        <f>Données!F11</f>
        <v>2.95</v>
      </c>
      <c r="H9" s="33">
        <f>Données!G11</f>
        <v>3.81</v>
      </c>
      <c r="I9" s="33">
        <f>Données!H11</f>
        <v>2.57</v>
      </c>
      <c r="J9" s="33">
        <f>Données!I11</f>
        <v>2.98</v>
      </c>
      <c r="K9" s="33">
        <f>Données!J11</f>
        <v>3.86</v>
      </c>
      <c r="L9" s="33">
        <f>Données!K11</f>
        <v>2.69</v>
      </c>
      <c r="M9" s="33">
        <f>Données!L11</f>
        <v>1.73</v>
      </c>
      <c r="N9" s="33">
        <f>Données!M11</f>
        <v>1.22</v>
      </c>
      <c r="O9" s="33">
        <f>Données!N11</f>
        <v>1.02</v>
      </c>
      <c r="P9" s="13">
        <f>SUM(D9:O9)/12</f>
        <v>2.3199999999999998</v>
      </c>
    </row>
    <row r="10" spans="1:16" ht="15.6" x14ac:dyDescent="0.25">
      <c r="A10" s="12" t="s">
        <v>20</v>
      </c>
      <c r="B10" s="101"/>
      <c r="C10" s="101"/>
      <c r="D10" s="34">
        <f>Données!C12</f>
        <v>0.55000000000000004</v>
      </c>
      <c r="E10" s="34">
        <f>Données!D12</f>
        <v>1.44</v>
      </c>
      <c r="F10" s="34">
        <f>Données!E12</f>
        <v>1.67</v>
      </c>
      <c r="G10" s="34">
        <f>Données!F12</f>
        <v>2.29</v>
      </c>
      <c r="H10" s="34">
        <f>Données!G12</f>
        <v>2.59</v>
      </c>
      <c r="I10" s="34">
        <f>Données!H12</f>
        <v>2.52</v>
      </c>
      <c r="J10" s="34">
        <f>Données!I12</f>
        <v>2.66</v>
      </c>
      <c r="K10" s="34">
        <f>Données!J12</f>
        <v>2.46</v>
      </c>
      <c r="L10" s="34">
        <f>Données!K12</f>
        <v>2.06</v>
      </c>
      <c r="M10" s="34">
        <f>Données!L12</f>
        <v>1.5</v>
      </c>
      <c r="N10" s="34">
        <f>Données!M12</f>
        <v>1.04</v>
      </c>
      <c r="O10" s="34">
        <f>Données!N12</f>
        <v>0.8</v>
      </c>
      <c r="P10" s="13">
        <f>SUM(D10:O10)/12</f>
        <v>1.7983333333333331</v>
      </c>
    </row>
    <row r="11" spans="1:16" ht="15.6" x14ac:dyDescent="0.25">
      <c r="A11" s="7" t="s">
        <v>23</v>
      </c>
      <c r="B11" s="102"/>
      <c r="C11" s="102"/>
      <c r="D11" s="33">
        <f>Données!C14</f>
        <v>6.2</v>
      </c>
      <c r="E11" s="33">
        <f>Données!D14</f>
        <v>6.5</v>
      </c>
      <c r="F11" s="33">
        <f>Données!E14</f>
        <v>8.1</v>
      </c>
      <c r="G11" s="33">
        <f>Données!F14</f>
        <v>9.5</v>
      </c>
      <c r="H11" s="33">
        <f>Données!G14</f>
        <v>11</v>
      </c>
      <c r="I11" s="33">
        <f>Données!H14</f>
        <v>13</v>
      </c>
      <c r="J11" s="33">
        <f>Données!I14</f>
        <v>14</v>
      </c>
      <c r="K11" s="33">
        <f>Données!J14</f>
        <v>14</v>
      </c>
      <c r="L11" s="33">
        <f>Données!K14</f>
        <v>13</v>
      </c>
      <c r="M11" s="33">
        <f>Données!L14</f>
        <v>10</v>
      </c>
      <c r="N11" s="33">
        <f>Données!M14</f>
        <v>8.1</v>
      </c>
      <c r="O11" s="33">
        <f>Données!N14</f>
        <v>6.7</v>
      </c>
      <c r="P11" s="14"/>
    </row>
    <row r="12" spans="1:16" x14ac:dyDescent="0.25">
      <c r="A12" s="7" t="s">
        <v>60</v>
      </c>
      <c r="B12" s="7"/>
      <c r="C12" s="7" t="s">
        <v>61</v>
      </c>
      <c r="D12" s="15">
        <f xml:space="preserve"> D9*$D5*0.046*1.8*(3.14/2)*D20*$L4</f>
        <v>306.83838552840001</v>
      </c>
      <c r="E12" s="15">
        <f t="shared" ref="E12:O12" si="1" xml:space="preserve"> E9*$D5*0.046*1.8*(3.14/2)*E20*$L4</f>
        <v>911.21702369040008</v>
      </c>
      <c r="F12" s="15">
        <f t="shared" si="1"/>
        <v>1013.4964855332</v>
      </c>
      <c r="G12" s="15">
        <f t="shared" si="1"/>
        <v>1327.23348579</v>
      </c>
      <c r="H12" s="15">
        <f t="shared" si="1"/>
        <v>1771.2943164594001</v>
      </c>
      <c r="I12" s="15">
        <f t="shared" si="1"/>
        <v>1156.2678164340002</v>
      </c>
      <c r="J12" s="15">
        <f xml:space="preserve"> J9*$D5*0.046*1.8*(3.14/2)*J20*$L4</f>
        <v>1385.4218013252</v>
      </c>
      <c r="K12" s="15">
        <f t="shared" si="1"/>
        <v>1794.5396486964</v>
      </c>
      <c r="L12" s="15">
        <f t="shared" si="1"/>
        <v>1210.2569751780002</v>
      </c>
      <c r="M12" s="15">
        <f t="shared" si="1"/>
        <v>804.28849540019996</v>
      </c>
      <c r="N12" s="15">
        <f t="shared" si="1"/>
        <v>548.88978056400003</v>
      </c>
      <c r="O12" s="15">
        <f t="shared" si="1"/>
        <v>474.2047776348</v>
      </c>
      <c r="P12" s="15">
        <f>SUM(D12:O12)</f>
        <v>12703.948992234004</v>
      </c>
    </row>
    <row r="13" spans="1:16" x14ac:dyDescent="0.25">
      <c r="A13" s="7" t="s">
        <v>62</v>
      </c>
      <c r="B13" s="7"/>
      <c r="C13" s="7" t="s">
        <v>61</v>
      </c>
      <c r="D13" s="15">
        <f>0.046*3.14*1.8*D10*$D5*D20*$L5</f>
        <v>864.40840200000048</v>
      </c>
      <c r="E13" s="15">
        <f t="shared" ref="E13:O13" si="2">0.046*3.14*1.8*E10*$D5*E20*$L5</f>
        <v>2044.1611008000004</v>
      </c>
      <c r="F13" s="15">
        <f t="shared" si="2"/>
        <v>2624.6582388000006</v>
      </c>
      <c r="G13" s="15">
        <f t="shared" si="2"/>
        <v>3482.9828280000006</v>
      </c>
      <c r="H13" s="15">
        <f t="shared" si="2"/>
        <v>4070.5777476000012</v>
      </c>
      <c r="I13" s="15">
        <f t="shared" si="2"/>
        <v>3832.8020640000013</v>
      </c>
      <c r="J13" s="15">
        <f t="shared" si="2"/>
        <v>4180.5933624000008</v>
      </c>
      <c r="K13" s="15">
        <f t="shared" si="2"/>
        <v>3866.2630344000004</v>
      </c>
      <c r="L13" s="15">
        <f t="shared" si="2"/>
        <v>3133.1635920000008</v>
      </c>
      <c r="M13" s="15">
        <f t="shared" si="2"/>
        <v>2357.477460000001</v>
      </c>
      <c r="N13" s="15">
        <f t="shared" si="2"/>
        <v>1581.7913280000005</v>
      </c>
      <c r="O13" s="15">
        <f t="shared" si="2"/>
        <v>1257.3213120000005</v>
      </c>
      <c r="P13" s="15">
        <f>SUM(D13:O13)</f>
        <v>33296.200470000011</v>
      </c>
    </row>
    <row r="14" spans="1:16" x14ac:dyDescent="0.25">
      <c r="A14" s="7" t="s">
        <v>63</v>
      </c>
      <c r="B14" s="7"/>
      <c r="C14" s="7" t="s">
        <v>61</v>
      </c>
      <c r="D14" s="15">
        <f t="shared" ref="D14:O14" si="3">D13+D12</f>
        <v>1171.2467875284005</v>
      </c>
      <c r="E14" s="15">
        <f t="shared" si="3"/>
        <v>2955.3781244904003</v>
      </c>
      <c r="F14" s="15">
        <f t="shared" si="3"/>
        <v>3638.1547243332006</v>
      </c>
      <c r="G14" s="15">
        <f t="shared" si="3"/>
        <v>4810.2163137900006</v>
      </c>
      <c r="H14" s="15">
        <f t="shared" si="3"/>
        <v>5841.8720640594011</v>
      </c>
      <c r="I14" s="15">
        <f t="shared" si="3"/>
        <v>4989.0698804340018</v>
      </c>
      <c r="J14" s="15">
        <f t="shared" si="3"/>
        <v>5566.0151637252011</v>
      </c>
      <c r="K14" s="15">
        <f t="shared" si="3"/>
        <v>5660.8026830964009</v>
      </c>
      <c r="L14" s="15">
        <f t="shared" si="3"/>
        <v>4343.420567178001</v>
      </c>
      <c r="M14" s="15">
        <f t="shared" si="3"/>
        <v>3161.7659554002012</v>
      </c>
      <c r="N14" s="15">
        <f t="shared" si="3"/>
        <v>2130.6811085640006</v>
      </c>
      <c r="O14" s="15">
        <f t="shared" si="3"/>
        <v>1731.5260896348004</v>
      </c>
      <c r="P14" s="15">
        <f>SUM(D14:O14)</f>
        <v>46000.149462234003</v>
      </c>
    </row>
    <row r="15" spans="1:16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9" t="s">
        <v>66</v>
      </c>
      <c r="B16" s="9"/>
      <c r="C16" s="9" t="s">
        <v>61</v>
      </c>
      <c r="D16" s="16">
        <f t="shared" ref="D16:O16" si="4">D14*$H4*$H5</f>
        <v>468.49871501136022</v>
      </c>
      <c r="E16" s="16">
        <f t="shared" si="4"/>
        <v>1182.1512497961601</v>
      </c>
      <c r="F16" s="16">
        <f t="shared" si="4"/>
        <v>1455.2618897332804</v>
      </c>
      <c r="G16" s="16">
        <f t="shared" si="4"/>
        <v>1924.0865255160004</v>
      </c>
      <c r="H16" s="16">
        <f t="shared" si="4"/>
        <v>2336.7488256237607</v>
      </c>
      <c r="I16" s="16">
        <f t="shared" si="4"/>
        <v>1995.6279521736008</v>
      </c>
      <c r="J16" s="16">
        <f t="shared" si="4"/>
        <v>2226.4060654900804</v>
      </c>
      <c r="K16" s="16">
        <f t="shared" si="4"/>
        <v>2264.3210732385605</v>
      </c>
      <c r="L16" s="16">
        <f t="shared" si="4"/>
        <v>1737.3682268712005</v>
      </c>
      <c r="M16" s="16">
        <f t="shared" si="4"/>
        <v>1264.7063821600805</v>
      </c>
      <c r="N16" s="16">
        <f t="shared" si="4"/>
        <v>852.27244342560027</v>
      </c>
      <c r="O16" s="16">
        <f t="shared" si="4"/>
        <v>692.61043585392019</v>
      </c>
      <c r="P16" s="17">
        <f>SUM(D16:O16)</f>
        <v>18400.059784893605</v>
      </c>
    </row>
    <row r="17" spans="1:19" x14ac:dyDescent="0.25">
      <c r="A17" s="9" t="s">
        <v>66</v>
      </c>
      <c r="B17" s="103"/>
      <c r="C17" s="103" t="s">
        <v>64</v>
      </c>
      <c r="D17" s="46">
        <f>D16/31</f>
        <v>15.112861774560008</v>
      </c>
      <c r="E17" s="46">
        <f>E16/28</f>
        <v>42.219687492720006</v>
      </c>
      <c r="F17" s="46">
        <f t="shared" ref="F17:O17" si="5">F16/31</f>
        <v>46.943931926880012</v>
      </c>
      <c r="G17" s="46">
        <f>G16/30</f>
        <v>64.136217517200009</v>
      </c>
      <c r="H17" s="46">
        <f t="shared" si="5"/>
        <v>75.378994374960016</v>
      </c>
      <c r="I17" s="46">
        <f>I16/30</f>
        <v>66.52093173912003</v>
      </c>
      <c r="J17" s="46">
        <f t="shared" si="5"/>
        <v>71.81955049968002</v>
      </c>
      <c r="K17" s="46">
        <f t="shared" si="5"/>
        <v>73.04261526576002</v>
      </c>
      <c r="L17" s="46">
        <f>L16/30</f>
        <v>57.912274229040015</v>
      </c>
      <c r="M17" s="46">
        <f t="shared" si="5"/>
        <v>40.796980069680018</v>
      </c>
      <c r="N17" s="46">
        <f>N16/30</f>
        <v>28.409081447520009</v>
      </c>
      <c r="O17" s="46">
        <f t="shared" si="5"/>
        <v>22.342272124320008</v>
      </c>
      <c r="P17" s="15"/>
    </row>
    <row r="18" spans="1:19" x14ac:dyDescent="0.25">
      <c r="A18" s="18" t="s">
        <v>100</v>
      </c>
      <c r="B18" s="18"/>
      <c r="C18" s="18"/>
      <c r="D18" s="32">
        <f>Données!C16</f>
        <v>90</v>
      </c>
      <c r="E18" s="32">
        <f>Données!D16</f>
        <v>100</v>
      </c>
      <c r="F18" s="32">
        <f>Données!E16</f>
        <v>80</v>
      </c>
      <c r="G18" s="32">
        <f>Données!F16</f>
        <v>60</v>
      </c>
      <c r="H18" s="32">
        <f>Données!G16</f>
        <v>50</v>
      </c>
      <c r="I18" s="32">
        <f>Données!H16</f>
        <v>30</v>
      </c>
      <c r="J18" s="32">
        <f>Données!I16</f>
        <v>20</v>
      </c>
      <c r="K18" s="32">
        <f>Données!J16</f>
        <v>20</v>
      </c>
      <c r="L18" s="32">
        <f>Données!K16</f>
        <v>30</v>
      </c>
      <c r="M18" s="32">
        <f>Données!L16</f>
        <v>50</v>
      </c>
      <c r="N18" s="32">
        <f>Données!M16</f>
        <v>60</v>
      </c>
      <c r="O18" s="32">
        <f>Données!N16</f>
        <v>90</v>
      </c>
      <c r="P18" s="19">
        <f>P27/0.8</f>
        <v>26350</v>
      </c>
      <c r="Q18" s="35"/>
      <c r="R18" s="37"/>
    </row>
    <row r="19" spans="1:19" x14ac:dyDescent="0.25">
      <c r="A19" s="20" t="s">
        <v>65</v>
      </c>
      <c r="B19" s="104"/>
      <c r="C19" s="103" t="s">
        <v>64</v>
      </c>
      <c r="D19" s="171">
        <f t="shared" ref="D19:O19" si="6">D18*($D37-D11)/860</f>
        <v>1.3395348837209302</v>
      </c>
      <c r="E19" s="171">
        <f t="shared" si="6"/>
        <v>1.4534883720930232</v>
      </c>
      <c r="F19" s="171">
        <f t="shared" si="6"/>
        <v>1.0139534883720931</v>
      </c>
      <c r="G19" s="171">
        <f t="shared" si="6"/>
        <v>0.66279069767441856</v>
      </c>
      <c r="H19" s="171">
        <f t="shared" si="6"/>
        <v>0.46511627906976744</v>
      </c>
      <c r="I19" s="171">
        <f t="shared" si="6"/>
        <v>0.20930232558139536</v>
      </c>
      <c r="J19" s="171">
        <f t="shared" si="6"/>
        <v>0.11627906976744186</v>
      </c>
      <c r="K19" s="171">
        <f t="shared" si="6"/>
        <v>0.11627906976744186</v>
      </c>
      <c r="L19" s="171">
        <f t="shared" si="6"/>
        <v>0.20930232558139536</v>
      </c>
      <c r="M19" s="171">
        <f t="shared" si="6"/>
        <v>0.52325581395348841</v>
      </c>
      <c r="N19" s="171">
        <f t="shared" si="6"/>
        <v>0.76046511627906976</v>
      </c>
      <c r="O19" s="171">
        <f t="shared" si="6"/>
        <v>1.2872093023255815</v>
      </c>
      <c r="P19" s="172"/>
    </row>
    <row r="20" spans="1:19" x14ac:dyDescent="0.25">
      <c r="A20" s="21" t="s">
        <v>21</v>
      </c>
      <c r="B20" s="21"/>
      <c r="C20" s="21"/>
      <c r="D20" s="173">
        <f>Données!C17</f>
        <v>31</v>
      </c>
      <c r="E20" s="173">
        <f>Données!D17</f>
        <v>28</v>
      </c>
      <c r="F20" s="173">
        <f>Données!E17</f>
        <v>31</v>
      </c>
      <c r="G20" s="173">
        <f>Données!F17</f>
        <v>30</v>
      </c>
      <c r="H20" s="173">
        <f>Données!G17</f>
        <v>31</v>
      </c>
      <c r="I20" s="173">
        <f>Données!H17</f>
        <v>30</v>
      </c>
      <c r="J20" s="173">
        <f>Données!I17</f>
        <v>31</v>
      </c>
      <c r="K20" s="173">
        <f>Données!J17</f>
        <v>31</v>
      </c>
      <c r="L20" s="173">
        <f>Données!K17</f>
        <v>30</v>
      </c>
      <c r="M20" s="173">
        <f>Données!L17</f>
        <v>31</v>
      </c>
      <c r="N20" s="173">
        <f>Données!M17</f>
        <v>30</v>
      </c>
      <c r="O20" s="173">
        <f>Données!N17</f>
        <v>31</v>
      </c>
      <c r="P20" s="172">
        <f>SUM(D20:O20)</f>
        <v>365</v>
      </c>
    </row>
    <row r="21" spans="1:19" x14ac:dyDescent="0.25">
      <c r="A21" s="21" t="s">
        <v>30</v>
      </c>
      <c r="B21" s="21"/>
      <c r="C21" s="21"/>
      <c r="D21" s="173">
        <f>D18*D20</f>
        <v>2790</v>
      </c>
      <c r="E21" s="173">
        <f t="shared" ref="E21:O21" si="7">E18*E20</f>
        <v>2800</v>
      </c>
      <c r="F21" s="173">
        <f t="shared" si="7"/>
        <v>2480</v>
      </c>
      <c r="G21" s="173">
        <f t="shared" si="7"/>
        <v>1800</v>
      </c>
      <c r="H21" s="173">
        <f t="shared" si="7"/>
        <v>1550</v>
      </c>
      <c r="I21" s="173">
        <f t="shared" si="7"/>
        <v>900</v>
      </c>
      <c r="J21" s="173">
        <f t="shared" si="7"/>
        <v>620</v>
      </c>
      <c r="K21" s="173">
        <f t="shared" si="7"/>
        <v>620</v>
      </c>
      <c r="L21" s="173">
        <f t="shared" si="7"/>
        <v>900</v>
      </c>
      <c r="M21" s="173">
        <f t="shared" si="7"/>
        <v>1550</v>
      </c>
      <c r="N21" s="173">
        <f t="shared" si="7"/>
        <v>1800</v>
      </c>
      <c r="O21" s="173">
        <f t="shared" si="7"/>
        <v>2790</v>
      </c>
      <c r="P21" s="172">
        <f>SUM(D21:O21)</f>
        <v>20600</v>
      </c>
    </row>
    <row r="22" spans="1:19" x14ac:dyDescent="0.25">
      <c r="A22" s="9" t="s">
        <v>86</v>
      </c>
      <c r="B22" s="9" t="s">
        <v>67</v>
      </c>
      <c r="C22" s="9" t="s">
        <v>61</v>
      </c>
      <c r="D22" s="94">
        <f>D27</f>
        <v>2790</v>
      </c>
      <c r="E22" s="94">
        <f t="shared" ref="E22:O22" si="8">E27</f>
        <v>3100</v>
      </c>
      <c r="F22" s="94">
        <f t="shared" si="8"/>
        <v>2480</v>
      </c>
      <c r="G22" s="94">
        <f t="shared" si="8"/>
        <v>1860</v>
      </c>
      <c r="H22" s="94">
        <f t="shared" si="8"/>
        <v>1550</v>
      </c>
      <c r="I22" s="94">
        <f t="shared" si="8"/>
        <v>930</v>
      </c>
      <c r="J22" s="94">
        <f t="shared" si="8"/>
        <v>620</v>
      </c>
      <c r="K22" s="94">
        <f t="shared" si="8"/>
        <v>620</v>
      </c>
      <c r="L22" s="94">
        <f t="shared" si="8"/>
        <v>930</v>
      </c>
      <c r="M22" s="94">
        <f t="shared" si="8"/>
        <v>1550</v>
      </c>
      <c r="N22" s="94">
        <f t="shared" si="8"/>
        <v>1860</v>
      </c>
      <c r="O22" s="94">
        <f t="shared" si="8"/>
        <v>2790</v>
      </c>
      <c r="P22" s="94">
        <f>SUM(D22:O22)</f>
        <v>21080</v>
      </c>
      <c r="Q22" s="35"/>
      <c r="S22" s="41"/>
    </row>
    <row r="23" spans="1:19" x14ac:dyDescent="0.25">
      <c r="A23" s="7" t="s">
        <v>25</v>
      </c>
      <c r="C23" s="7"/>
      <c r="D23" s="15">
        <f t="shared" ref="D23:O23" si="9">$D38*D22/(1-$D38)</f>
        <v>1195.7142857142858</v>
      </c>
      <c r="E23" s="15">
        <f t="shared" si="9"/>
        <v>1328.5714285714287</v>
      </c>
      <c r="F23" s="15">
        <f t="shared" si="9"/>
        <v>1062.8571428571429</v>
      </c>
      <c r="G23" s="15">
        <f t="shared" si="9"/>
        <v>797.14285714285722</v>
      </c>
      <c r="H23" s="15">
        <f t="shared" si="9"/>
        <v>664.28571428571433</v>
      </c>
      <c r="I23" s="15">
        <f t="shared" si="9"/>
        <v>398.57142857142861</v>
      </c>
      <c r="J23" s="15">
        <f t="shared" si="9"/>
        <v>265.71428571428572</v>
      </c>
      <c r="K23" s="15">
        <f t="shared" si="9"/>
        <v>265.71428571428572</v>
      </c>
      <c r="L23" s="15">
        <f t="shared" si="9"/>
        <v>398.57142857142861</v>
      </c>
      <c r="M23" s="15">
        <f t="shared" si="9"/>
        <v>664.28571428571433</v>
      </c>
      <c r="N23" s="15">
        <f t="shared" si="9"/>
        <v>797.14285714285722</v>
      </c>
      <c r="O23" s="15">
        <f t="shared" si="9"/>
        <v>1195.7142857142858</v>
      </c>
      <c r="P23" s="15">
        <f>SUM(D23:O23)</f>
        <v>9034.2857142857138</v>
      </c>
    </row>
    <row r="24" spans="1:19" x14ac:dyDescent="0.25">
      <c r="A24" s="9" t="s">
        <v>87</v>
      </c>
      <c r="B24" s="7" t="s">
        <v>68</v>
      </c>
      <c r="C24" s="9" t="s">
        <v>61</v>
      </c>
      <c r="D24" s="15">
        <f>D22+D23</f>
        <v>3985.7142857142858</v>
      </c>
      <c r="E24" s="15">
        <f t="shared" ref="E24:O24" si="10">E22+E23</f>
        <v>4428.5714285714284</v>
      </c>
      <c r="F24" s="15">
        <f t="shared" si="10"/>
        <v>3542.8571428571431</v>
      </c>
      <c r="G24" s="15">
        <f t="shared" si="10"/>
        <v>2657.1428571428573</v>
      </c>
      <c r="H24" s="15">
        <f t="shared" si="10"/>
        <v>2214.2857142857142</v>
      </c>
      <c r="I24" s="15">
        <f t="shared" si="10"/>
        <v>1328.5714285714287</v>
      </c>
      <c r="J24" s="15">
        <f t="shared" si="10"/>
        <v>885.71428571428578</v>
      </c>
      <c r="K24" s="15">
        <f t="shared" si="10"/>
        <v>885.71428571428578</v>
      </c>
      <c r="L24" s="15">
        <f t="shared" si="10"/>
        <v>1328.5714285714287</v>
      </c>
      <c r="M24" s="15">
        <f t="shared" si="10"/>
        <v>2214.2857142857142</v>
      </c>
      <c r="N24" s="15">
        <f t="shared" si="10"/>
        <v>2657.1428571428573</v>
      </c>
      <c r="O24" s="15">
        <f t="shared" si="10"/>
        <v>3985.7142857142858</v>
      </c>
      <c r="P24" s="22">
        <f>SUM(D24:O24)</f>
        <v>30114.285714285714</v>
      </c>
      <c r="Q24" s="35"/>
      <c r="R24" s="36"/>
      <c r="S24" s="41"/>
    </row>
    <row r="25" spans="1:19" x14ac:dyDescent="0.25">
      <c r="A25" s="9" t="s">
        <v>88</v>
      </c>
      <c r="B25" s="7" t="s">
        <v>68</v>
      </c>
      <c r="C25" s="103" t="s">
        <v>64</v>
      </c>
      <c r="D25" s="47">
        <f>D24/31</f>
        <v>128.57142857142858</v>
      </c>
      <c r="E25" s="47">
        <f>E24/28</f>
        <v>158.16326530612244</v>
      </c>
      <c r="F25" s="47">
        <f t="shared" ref="F25:O25" si="11">F24/31</f>
        <v>114.28571428571429</v>
      </c>
      <c r="G25" s="47">
        <f>G24/30</f>
        <v>88.571428571428584</v>
      </c>
      <c r="H25" s="47">
        <f t="shared" si="11"/>
        <v>71.428571428571431</v>
      </c>
      <c r="I25" s="47">
        <f>I24/30</f>
        <v>44.285714285714292</v>
      </c>
      <c r="J25" s="47">
        <f t="shared" si="11"/>
        <v>28.571428571428573</v>
      </c>
      <c r="K25" s="47">
        <f t="shared" si="11"/>
        <v>28.571428571428573</v>
      </c>
      <c r="L25" s="47">
        <f>L24/30</f>
        <v>44.285714285714292</v>
      </c>
      <c r="M25" s="47">
        <f t="shared" si="11"/>
        <v>71.428571428571431</v>
      </c>
      <c r="N25" s="47">
        <f>N24/30</f>
        <v>88.571428571428584</v>
      </c>
      <c r="O25" s="47">
        <f t="shared" si="11"/>
        <v>128.57142857142858</v>
      </c>
      <c r="P25" s="14"/>
      <c r="S25" s="42"/>
    </row>
    <row r="26" spans="1:19" x14ac:dyDescent="0.25">
      <c r="A26" s="7" t="s">
        <v>89</v>
      </c>
      <c r="B26" s="105"/>
      <c r="C26" s="103" t="s">
        <v>64</v>
      </c>
      <c r="D26" s="138">
        <f>D18</f>
        <v>90</v>
      </c>
      <c r="E26" s="138">
        <f t="shared" ref="E26:O26" si="12">E18</f>
        <v>100</v>
      </c>
      <c r="F26" s="138">
        <f t="shared" si="12"/>
        <v>80</v>
      </c>
      <c r="G26" s="138">
        <f t="shared" si="12"/>
        <v>60</v>
      </c>
      <c r="H26" s="138">
        <f t="shared" si="12"/>
        <v>50</v>
      </c>
      <c r="I26" s="138">
        <f t="shared" si="12"/>
        <v>30</v>
      </c>
      <c r="J26" s="138">
        <f t="shared" si="12"/>
        <v>20</v>
      </c>
      <c r="K26" s="138">
        <f t="shared" si="12"/>
        <v>20</v>
      </c>
      <c r="L26" s="138">
        <f t="shared" si="12"/>
        <v>30</v>
      </c>
      <c r="M26" s="138">
        <f t="shared" si="12"/>
        <v>50</v>
      </c>
      <c r="N26" s="138">
        <f t="shared" si="12"/>
        <v>60</v>
      </c>
      <c r="O26" s="138">
        <f t="shared" si="12"/>
        <v>90</v>
      </c>
      <c r="P26" s="23"/>
      <c r="S26" s="40"/>
    </row>
    <row r="27" spans="1:19" x14ac:dyDescent="0.25">
      <c r="A27" s="7" t="s">
        <v>90</v>
      </c>
      <c r="B27" s="7"/>
      <c r="C27" s="7" t="s">
        <v>61</v>
      </c>
      <c r="D27" s="14">
        <f>D26*31</f>
        <v>2790</v>
      </c>
      <c r="E27" s="14">
        <f t="shared" ref="E27:O27" si="13">E26*31</f>
        <v>3100</v>
      </c>
      <c r="F27" s="14">
        <f t="shared" si="13"/>
        <v>2480</v>
      </c>
      <c r="G27" s="14">
        <f t="shared" si="13"/>
        <v>1860</v>
      </c>
      <c r="H27" s="14">
        <f t="shared" si="13"/>
        <v>1550</v>
      </c>
      <c r="I27" s="14">
        <f t="shared" si="13"/>
        <v>930</v>
      </c>
      <c r="J27" s="14">
        <f t="shared" si="13"/>
        <v>620</v>
      </c>
      <c r="K27" s="14">
        <f t="shared" si="13"/>
        <v>620</v>
      </c>
      <c r="L27" s="14">
        <f t="shared" si="13"/>
        <v>930</v>
      </c>
      <c r="M27" s="14">
        <f t="shared" si="13"/>
        <v>1550</v>
      </c>
      <c r="N27" s="14">
        <f t="shared" si="13"/>
        <v>1860</v>
      </c>
      <c r="O27" s="14">
        <f t="shared" si="13"/>
        <v>2790</v>
      </c>
      <c r="P27" s="23">
        <f>SUM(D27:O27)</f>
        <v>21080</v>
      </c>
    </row>
    <row r="28" spans="1:19" x14ac:dyDescent="0.25">
      <c r="A28" s="9" t="s">
        <v>87</v>
      </c>
      <c r="B28" s="7" t="s">
        <v>68</v>
      </c>
      <c r="C28" s="9" t="s">
        <v>61</v>
      </c>
      <c r="D28" s="15">
        <f>D27</f>
        <v>2790</v>
      </c>
      <c r="E28" s="15">
        <f t="shared" ref="E28:O28" si="14">E27</f>
        <v>3100</v>
      </c>
      <c r="F28" s="15">
        <f t="shared" si="14"/>
        <v>2480</v>
      </c>
      <c r="G28" s="15">
        <f t="shared" si="14"/>
        <v>1860</v>
      </c>
      <c r="H28" s="15">
        <f t="shared" si="14"/>
        <v>1550</v>
      </c>
      <c r="I28" s="15">
        <f t="shared" si="14"/>
        <v>930</v>
      </c>
      <c r="J28" s="15">
        <f t="shared" si="14"/>
        <v>620</v>
      </c>
      <c r="K28" s="15">
        <f t="shared" si="14"/>
        <v>620</v>
      </c>
      <c r="L28" s="15">
        <f t="shared" si="14"/>
        <v>930</v>
      </c>
      <c r="M28" s="15">
        <f t="shared" si="14"/>
        <v>1550</v>
      </c>
      <c r="N28" s="15">
        <f t="shared" si="14"/>
        <v>1860</v>
      </c>
      <c r="O28" s="15">
        <f t="shared" si="14"/>
        <v>2790</v>
      </c>
      <c r="P28" s="22">
        <f>SUM(D28:O28)</f>
        <v>21080</v>
      </c>
    </row>
    <row r="29" spans="1:19" x14ac:dyDescent="0.25">
      <c r="A29" s="9" t="s">
        <v>91</v>
      </c>
      <c r="B29" s="7" t="s">
        <v>68</v>
      </c>
      <c r="C29" s="9" t="s">
        <v>61</v>
      </c>
      <c r="D29" s="22">
        <f>(D27)+D23*(1-$D39)</f>
        <v>3985.7142857142858</v>
      </c>
      <c r="E29" s="22">
        <f t="shared" ref="E29:O29" si="15">(E27)+E23*(1-$D39)</f>
        <v>4428.5714285714284</v>
      </c>
      <c r="F29" s="22">
        <f t="shared" si="15"/>
        <v>3542.8571428571431</v>
      </c>
      <c r="G29" s="22">
        <f t="shared" si="15"/>
        <v>2657.1428571428573</v>
      </c>
      <c r="H29" s="22">
        <f t="shared" si="15"/>
        <v>2214.2857142857142</v>
      </c>
      <c r="I29" s="22">
        <f t="shared" si="15"/>
        <v>1328.5714285714287</v>
      </c>
      <c r="J29" s="22">
        <f t="shared" si="15"/>
        <v>885.71428571428578</v>
      </c>
      <c r="K29" s="22">
        <f t="shared" si="15"/>
        <v>885.71428571428578</v>
      </c>
      <c r="L29" s="22">
        <f t="shared" si="15"/>
        <v>1328.5714285714287</v>
      </c>
      <c r="M29" s="22">
        <f t="shared" si="15"/>
        <v>2214.2857142857142</v>
      </c>
      <c r="N29" s="22">
        <f t="shared" si="15"/>
        <v>2657.1428571428573</v>
      </c>
      <c r="O29" s="22">
        <f t="shared" si="15"/>
        <v>3985.7142857142858</v>
      </c>
      <c r="P29" s="22">
        <f>SUM(D29:O29)</f>
        <v>30114.285714285714</v>
      </c>
      <c r="Q29" s="35"/>
    </row>
    <row r="30" spans="1:19" x14ac:dyDescent="0.25">
      <c r="A30" s="9" t="s">
        <v>92</v>
      </c>
      <c r="B30" s="7" t="s">
        <v>68</v>
      </c>
      <c r="C30" s="103" t="s">
        <v>64</v>
      </c>
      <c r="D30" s="45">
        <f>D29/D20</f>
        <v>128.57142857142858</v>
      </c>
      <c r="E30" s="45">
        <f t="shared" ref="E30:O30" si="16">E29/E20</f>
        <v>158.16326530612244</v>
      </c>
      <c r="F30" s="45">
        <f t="shared" si="16"/>
        <v>114.28571428571429</v>
      </c>
      <c r="G30" s="45">
        <f t="shared" si="16"/>
        <v>88.571428571428584</v>
      </c>
      <c r="H30" s="45">
        <f t="shared" si="16"/>
        <v>71.428571428571431</v>
      </c>
      <c r="I30" s="45">
        <f t="shared" si="16"/>
        <v>44.285714285714292</v>
      </c>
      <c r="J30" s="45">
        <f t="shared" si="16"/>
        <v>28.571428571428573</v>
      </c>
      <c r="K30" s="45">
        <f t="shared" si="16"/>
        <v>28.571428571428573</v>
      </c>
      <c r="L30" s="45">
        <f t="shared" si="16"/>
        <v>44.285714285714292</v>
      </c>
      <c r="M30" s="45">
        <f t="shared" si="16"/>
        <v>71.428571428571431</v>
      </c>
      <c r="N30" s="45">
        <f t="shared" si="16"/>
        <v>88.571428571428584</v>
      </c>
      <c r="O30" s="45">
        <f t="shared" si="16"/>
        <v>128.57142857142858</v>
      </c>
      <c r="P30" s="15"/>
      <c r="Q30" s="35"/>
    </row>
    <row r="31" spans="1:19" x14ac:dyDescent="0.25">
      <c r="A31" s="7"/>
      <c r="B31" s="7"/>
      <c r="C31" s="7"/>
      <c r="D31" s="24" t="b">
        <f>IF(D16&lt;D29,TRUE)</f>
        <v>1</v>
      </c>
      <c r="E31" s="24" t="b">
        <f t="shared" ref="E31:O31" si="17">IF(E16&lt;E29,TRUE)</f>
        <v>1</v>
      </c>
      <c r="F31" s="24" t="b">
        <f t="shared" si="17"/>
        <v>1</v>
      </c>
      <c r="G31" s="24" t="b">
        <f t="shared" si="17"/>
        <v>1</v>
      </c>
      <c r="H31" s="24" t="b">
        <f t="shared" si="17"/>
        <v>0</v>
      </c>
      <c r="I31" s="24" t="b">
        <f t="shared" si="17"/>
        <v>0</v>
      </c>
      <c r="J31" s="24" t="b">
        <f t="shared" si="17"/>
        <v>0</v>
      </c>
      <c r="K31" s="24" t="b">
        <f t="shared" si="17"/>
        <v>0</v>
      </c>
      <c r="L31" s="24" t="b">
        <f t="shared" si="17"/>
        <v>0</v>
      </c>
      <c r="M31" s="24" t="b">
        <f t="shared" si="17"/>
        <v>1</v>
      </c>
      <c r="N31" s="24" t="b">
        <f t="shared" si="17"/>
        <v>1</v>
      </c>
      <c r="O31" s="24" t="b">
        <f t="shared" si="17"/>
        <v>1</v>
      </c>
      <c r="P31" s="14"/>
    </row>
    <row r="32" spans="1:19" x14ac:dyDescent="0.25">
      <c r="A32" s="92" t="s">
        <v>33</v>
      </c>
      <c r="B32" s="7" t="s">
        <v>69</v>
      </c>
      <c r="C32" s="92" t="s">
        <v>61</v>
      </c>
      <c r="D32" s="93">
        <f>IF(D31,D17,D22/D20)*D20</f>
        <v>468.49871501136022</v>
      </c>
      <c r="E32" s="93">
        <f t="shared" ref="E32:O32" si="18">IF(E31,E17,E22/E20)*E20</f>
        <v>1182.1512497961601</v>
      </c>
      <c r="F32" s="93">
        <f t="shared" si="18"/>
        <v>1455.2618897332804</v>
      </c>
      <c r="G32" s="93">
        <f t="shared" si="18"/>
        <v>1924.0865255160002</v>
      </c>
      <c r="H32" s="93">
        <f t="shared" si="18"/>
        <v>1550</v>
      </c>
      <c r="I32" s="93">
        <f t="shared" si="18"/>
        <v>930</v>
      </c>
      <c r="J32" s="93">
        <f t="shared" si="18"/>
        <v>620</v>
      </c>
      <c r="K32" s="93">
        <f t="shared" si="18"/>
        <v>620</v>
      </c>
      <c r="L32" s="93">
        <f t="shared" si="18"/>
        <v>930</v>
      </c>
      <c r="M32" s="93">
        <f t="shared" si="18"/>
        <v>1264.7063821600805</v>
      </c>
      <c r="N32" s="93">
        <f t="shared" si="18"/>
        <v>852.27244342560027</v>
      </c>
      <c r="O32" s="93">
        <f t="shared" si="18"/>
        <v>692.61043585392019</v>
      </c>
      <c r="P32" s="94">
        <f>SUM(D32:O32)</f>
        <v>12489.5876414964</v>
      </c>
      <c r="Q32" s="35"/>
      <c r="R32" s="37"/>
      <c r="S32" s="2"/>
    </row>
    <row r="33" spans="1:20" x14ac:dyDescent="0.25">
      <c r="A33" s="9" t="s">
        <v>58</v>
      </c>
      <c r="B33" s="7" t="s">
        <v>70</v>
      </c>
      <c r="C33" s="92" t="s">
        <v>61</v>
      </c>
      <c r="D33" s="15">
        <f>IF((D22-D32)&gt;0,(D22-D32)*(1+$D38),0)</f>
        <v>3017.9516704852317</v>
      </c>
      <c r="E33" s="15">
        <f t="shared" ref="E33:O33" si="19">IF((E22-E32)&gt;0,(E22-E32)*(1+$D38),0)</f>
        <v>2493.2033752649918</v>
      </c>
      <c r="F33" s="15">
        <f t="shared" si="19"/>
        <v>1332.1595433467355</v>
      </c>
      <c r="G33" s="15">
        <f t="shared" si="19"/>
        <v>0</v>
      </c>
      <c r="H33" s="15">
        <f t="shared" si="19"/>
        <v>0</v>
      </c>
      <c r="I33" s="15">
        <f t="shared" si="19"/>
        <v>0</v>
      </c>
      <c r="J33" s="15">
        <f t="shared" si="19"/>
        <v>0</v>
      </c>
      <c r="K33" s="15">
        <f t="shared" si="19"/>
        <v>0</v>
      </c>
      <c r="L33" s="15">
        <f t="shared" si="19"/>
        <v>0</v>
      </c>
      <c r="M33" s="15">
        <f t="shared" si="19"/>
        <v>370.88170319189538</v>
      </c>
      <c r="N33" s="15">
        <f t="shared" si="19"/>
        <v>1310.0458235467197</v>
      </c>
      <c r="O33" s="15">
        <f t="shared" si="19"/>
        <v>2726.6064333899039</v>
      </c>
      <c r="P33" s="22">
        <f>SUM(D33:O33)</f>
        <v>11250.848549225477</v>
      </c>
      <c r="Q33" s="35"/>
    </row>
    <row r="34" spans="1:20" x14ac:dyDescent="0.25">
      <c r="A34" s="23"/>
      <c r="B34" s="23"/>
      <c r="C34" s="23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35"/>
      <c r="T34" s="37"/>
    </row>
    <row r="35" spans="1:20" x14ac:dyDescent="0.25">
      <c r="A35" s="23" t="s">
        <v>72</v>
      </c>
      <c r="B35" s="23" t="s">
        <v>71</v>
      </c>
      <c r="C35" s="23"/>
      <c r="D35" s="25">
        <f t="shared" ref="D35:O35" si="20">IF(D32&lt;D22,D32,D22)/D22</f>
        <v>0.16792068638400007</v>
      </c>
      <c r="E35" s="25">
        <f t="shared" si="20"/>
        <v>0.38133911283747102</v>
      </c>
      <c r="F35" s="25">
        <f t="shared" si="20"/>
        <v>0.58679914908600017</v>
      </c>
      <c r="G35" s="25">
        <f t="shared" si="20"/>
        <v>1</v>
      </c>
      <c r="H35" s="25">
        <f t="shared" si="20"/>
        <v>1</v>
      </c>
      <c r="I35" s="25">
        <f t="shared" si="20"/>
        <v>1</v>
      </c>
      <c r="J35" s="25">
        <f t="shared" si="20"/>
        <v>1</v>
      </c>
      <c r="K35" s="25">
        <f t="shared" si="20"/>
        <v>1</v>
      </c>
      <c r="L35" s="25">
        <f t="shared" si="20"/>
        <v>1</v>
      </c>
      <c r="M35" s="25">
        <f t="shared" si="20"/>
        <v>0.81593960139360033</v>
      </c>
      <c r="N35" s="25">
        <f t="shared" si="20"/>
        <v>0.4582109910890324</v>
      </c>
      <c r="O35" s="25">
        <f t="shared" si="20"/>
        <v>0.24824746804800008</v>
      </c>
      <c r="P35" s="25">
        <f>P32/P22</f>
        <v>0.59248518223417457</v>
      </c>
      <c r="Q35" s="35"/>
      <c r="R35" s="38"/>
      <c r="S35" s="39"/>
    </row>
    <row r="36" spans="1:20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20" x14ac:dyDescent="0.25">
      <c r="A37" s="28" t="s">
        <v>24</v>
      </c>
      <c r="B37" s="28"/>
      <c r="C37" s="28"/>
      <c r="D37" s="32">
        <f>Données!C20</f>
        <v>19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20" x14ac:dyDescent="0.25">
      <c r="A38" s="18" t="s">
        <v>25</v>
      </c>
      <c r="B38" s="18"/>
      <c r="C38" s="18"/>
      <c r="D38" s="90">
        <f>Données!C21</f>
        <v>0.3</v>
      </c>
      <c r="E38" s="91">
        <f>1-M2*12.8/P24</f>
        <v>1</v>
      </c>
      <c r="G38" s="27"/>
      <c r="I38" s="27"/>
      <c r="J38" s="27"/>
      <c r="K38" s="27"/>
      <c r="L38" s="27"/>
      <c r="M38" s="27"/>
      <c r="N38" s="27"/>
      <c r="O38" s="27"/>
      <c r="P38" s="27"/>
    </row>
    <row r="39" spans="1:20" x14ac:dyDescent="0.25">
      <c r="A39" s="18" t="s">
        <v>26</v>
      </c>
      <c r="B39" s="18"/>
      <c r="C39" s="18"/>
      <c r="D39" s="50">
        <v>0</v>
      </c>
      <c r="E39" s="27"/>
      <c r="F39" s="27"/>
      <c r="G39" s="29"/>
      <c r="H39" s="27"/>
      <c r="I39" s="30"/>
      <c r="J39" s="30"/>
      <c r="K39" s="27"/>
      <c r="L39" s="27"/>
      <c r="M39" s="27"/>
      <c r="N39" s="27"/>
      <c r="O39" s="27"/>
      <c r="P39" s="27"/>
    </row>
    <row r="40" spans="1:2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20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31"/>
      <c r="K41" s="27"/>
      <c r="L41" s="31"/>
      <c r="M41" s="27"/>
      <c r="N41" s="31"/>
      <c r="O41" s="27"/>
      <c r="P41" s="27"/>
    </row>
  </sheetData>
  <sheetProtection selectLockedCells="1" selectUnlockedCells="1"/>
  <pageMargins left="0" right="0" top="0.1388888888888889" bottom="0.1388888888888889" header="0" footer="0"/>
  <pageSetup paperSize="9" firstPageNumber="0" orientation="landscape" horizontalDpi="4294967293" verticalDpi="300" r:id="rId1"/>
  <headerFooter alignWithMargins="0">
    <oddHeader>&amp;C&amp;10&amp;A</oddHeader>
    <oddFooter>&amp;C&amp;10Page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workbookViewId="0">
      <selection activeCell="E19" sqref="E19"/>
    </sheetView>
  </sheetViews>
  <sheetFormatPr baseColWidth="10" defaultColWidth="10" defaultRowHeight="13.2" outlineLevelCol="1" x14ac:dyDescent="0.25"/>
  <cols>
    <col min="1" max="1" width="15.59765625" style="317" customWidth="1"/>
    <col min="2" max="2" width="26.5" style="317" customWidth="1"/>
    <col min="3" max="3" width="21.3984375" style="317" customWidth="1"/>
    <col min="4" max="4" width="29.19921875" style="317" customWidth="1"/>
    <col min="5" max="5" width="14" style="317" customWidth="1"/>
    <col min="6" max="6" width="10.3984375" style="317" customWidth="1"/>
    <col min="7" max="7" width="9.3984375" style="317" customWidth="1"/>
    <col min="8" max="8" width="14.5" style="318" hidden="1" customWidth="1" outlineLevel="1"/>
    <col min="9" max="13" width="16.19921875" style="318" hidden="1" customWidth="1" outlineLevel="1"/>
    <col min="14" max="14" width="4.3984375" style="318" hidden="1" customWidth="1" outlineLevel="1"/>
    <col min="15" max="15" width="6" style="318" hidden="1" customWidth="1" outlineLevel="1"/>
    <col min="16" max="18" width="12" style="318" hidden="1" customWidth="1" outlineLevel="1"/>
    <col min="19" max="19" width="10" style="317" hidden="1" customWidth="1" outlineLevel="1"/>
    <col min="20" max="20" width="9.3984375" style="317" hidden="1" customWidth="1" outlineLevel="1"/>
    <col min="21" max="21" width="9.3984375" style="317" customWidth="1" collapsed="1"/>
    <col min="22" max="22" width="9.3984375" style="317" customWidth="1"/>
    <col min="23" max="16384" width="10" style="317"/>
  </cols>
  <sheetData>
    <row r="1" spans="1:22" s="355" customFormat="1" x14ac:dyDescent="0.25">
      <c r="A1" s="360"/>
      <c r="E1" s="358"/>
      <c r="F1" s="358"/>
      <c r="G1" s="358"/>
      <c r="H1" s="401" t="s">
        <v>158</v>
      </c>
      <c r="I1" s="401"/>
      <c r="J1" s="401" t="s">
        <v>157</v>
      </c>
      <c r="K1" s="401"/>
      <c r="L1" s="401" t="s">
        <v>156</v>
      </c>
      <c r="M1" s="401"/>
      <c r="N1" s="322"/>
      <c r="O1" s="322"/>
      <c r="P1" s="359" t="s">
        <v>158</v>
      </c>
      <c r="Q1" s="359" t="s">
        <v>157</v>
      </c>
      <c r="R1" s="359" t="s">
        <v>156</v>
      </c>
      <c r="S1" s="359"/>
      <c r="T1" s="359" t="s">
        <v>158</v>
      </c>
      <c r="U1" s="359" t="s">
        <v>157</v>
      </c>
      <c r="V1" s="359" t="s">
        <v>156</v>
      </c>
    </row>
    <row r="2" spans="1:22" x14ac:dyDescent="0.25">
      <c r="A2" s="353"/>
      <c r="B2" s="355"/>
      <c r="C2" s="321"/>
      <c r="D2" s="355"/>
      <c r="E2" s="358"/>
      <c r="F2" s="358"/>
      <c r="G2" s="358"/>
      <c r="H2" s="357" t="s">
        <v>155</v>
      </c>
      <c r="I2" s="357" t="s">
        <v>154</v>
      </c>
      <c r="J2" s="357" t="s">
        <v>155</v>
      </c>
      <c r="K2" s="357" t="s">
        <v>154</v>
      </c>
      <c r="L2" s="357" t="s">
        <v>155</v>
      </c>
      <c r="M2" s="357" t="s">
        <v>154</v>
      </c>
      <c r="N2" s="357"/>
      <c r="O2" s="357" t="s">
        <v>17</v>
      </c>
      <c r="P2" s="356" t="s">
        <v>153</v>
      </c>
      <c r="Q2" s="356" t="s">
        <v>152</v>
      </c>
      <c r="R2" s="356" t="s">
        <v>151</v>
      </c>
      <c r="S2" s="355"/>
      <c r="T2" s="400" t="s">
        <v>150</v>
      </c>
      <c r="U2" s="400"/>
      <c r="V2" s="400"/>
    </row>
    <row r="3" spans="1:22" ht="13.8" x14ac:dyDescent="0.3">
      <c r="A3" s="353"/>
      <c r="B3" s="351"/>
      <c r="C3" s="354"/>
      <c r="D3" s="351"/>
      <c r="E3" s="348"/>
      <c r="F3" s="348"/>
      <c r="G3" s="348"/>
      <c r="H3" s="328">
        <v>0</v>
      </c>
      <c r="I3" s="328">
        <f>SUM($H$3:H3)</f>
        <v>0</v>
      </c>
      <c r="J3" s="328">
        <v>0</v>
      </c>
      <c r="K3" s="328">
        <f>SUM($H$3:J3)</f>
        <v>0</v>
      </c>
      <c r="L3" s="328">
        <v>0</v>
      </c>
      <c r="M3" s="328">
        <f>SUM($H$3:L3)</f>
        <v>0</v>
      </c>
      <c r="N3" s="328"/>
      <c r="O3" s="322">
        <v>0</v>
      </c>
      <c r="P3" s="327">
        <f>-$E$9-$E$10+I3</f>
        <v>-25000</v>
      </c>
      <c r="Q3" s="327">
        <f>-$E$9-$E$10+K3</f>
        <v>-25000</v>
      </c>
      <c r="R3" s="327">
        <f>-$E$9-$E$10+M3</f>
        <v>-25000</v>
      </c>
      <c r="S3" s="321"/>
      <c r="T3" s="320">
        <f t="shared" ref="T3:T23" si="0">H3/$E$8</f>
        <v>0</v>
      </c>
      <c r="U3" s="326">
        <f t="shared" ref="U3:U23" si="1">J3/$E$8</f>
        <v>0</v>
      </c>
      <c r="V3" s="326">
        <f t="shared" ref="V3:V23" si="2">L3/$E$8</f>
        <v>0</v>
      </c>
    </row>
    <row r="4" spans="1:22" x14ac:dyDescent="0.25">
      <c r="A4" s="353"/>
      <c r="B4" s="352"/>
      <c r="C4" s="321"/>
      <c r="D4" s="351"/>
      <c r="E4" s="348"/>
      <c r="F4" s="348"/>
      <c r="G4" s="348"/>
      <c r="H4" s="328">
        <f>$E$15</f>
        <v>2497.9175282992801</v>
      </c>
      <c r="I4" s="328">
        <f>SUM($H$3:H4)</f>
        <v>2497.9175282992801</v>
      </c>
      <c r="J4" s="328">
        <f>$E$15</f>
        <v>2497.9175282992801</v>
      </c>
      <c r="K4" s="328">
        <f>SUM($J$3:J4)</f>
        <v>2497.9175282992801</v>
      </c>
      <c r="L4" s="328">
        <f>$E$15</f>
        <v>2497.9175282992801</v>
      </c>
      <c r="M4" s="328">
        <f>SUM($L$3:L4)</f>
        <v>2497.9175282992801</v>
      </c>
      <c r="N4" s="328"/>
      <c r="O4" s="322">
        <v>1</v>
      </c>
      <c r="P4" s="327">
        <f t="shared" ref="P4:P23" si="3">-$E$9-$E$10+$E$12*$E$9+I4</f>
        <v>-15502.08247170072</v>
      </c>
      <c r="Q4" s="327">
        <f t="shared" ref="Q4:Q23" si="4">-$E$9-$E$10+$E$12*$E$9+K4</f>
        <v>-15502.08247170072</v>
      </c>
      <c r="R4" s="327">
        <f t="shared" ref="R4:R23" si="5">-$E$9-$E$10+$E$12*$E$9+M4</f>
        <v>-15502.08247170072</v>
      </c>
      <c r="S4" s="321"/>
      <c r="T4" s="320">
        <f t="shared" si="0"/>
        <v>0.13877319601662666</v>
      </c>
      <c r="U4" s="326">
        <f t="shared" si="1"/>
        <v>0.13877319601662666</v>
      </c>
      <c r="V4" s="326">
        <f t="shared" si="2"/>
        <v>0.13877319601662666</v>
      </c>
    </row>
    <row r="5" spans="1:22" x14ac:dyDescent="0.25">
      <c r="A5" s="321"/>
      <c r="B5" s="321"/>
      <c r="C5" s="321"/>
      <c r="D5" s="350"/>
      <c r="E5" s="349"/>
      <c r="F5" s="348"/>
      <c r="G5" s="348"/>
      <c r="H5" s="329">
        <f t="shared" ref="H5:H23" si="6">H4*(1+$E$13)</f>
        <v>2522.8967035822729</v>
      </c>
      <c r="I5" s="328">
        <f>SUM($H$3:H5)</f>
        <v>5020.8142318815535</v>
      </c>
      <c r="J5" s="329">
        <f t="shared" ref="J5:J23" si="7">J4*(1+$F$13)</f>
        <v>2572.8550541482587</v>
      </c>
      <c r="K5" s="328">
        <f>SUM($J$3:J5)</f>
        <v>5070.7725824475383</v>
      </c>
      <c r="L5" s="329">
        <f t="shared" ref="L5:L23" si="8">L4*(1+$G$13)</f>
        <v>2622.8134047142444</v>
      </c>
      <c r="M5" s="328">
        <f>SUM($L$3:L5)</f>
        <v>5120.7309330135249</v>
      </c>
      <c r="N5" s="328"/>
      <c r="O5" s="322">
        <v>2</v>
      </c>
      <c r="P5" s="327">
        <f t="shared" si="3"/>
        <v>-12979.185768118447</v>
      </c>
      <c r="Q5" s="327">
        <f t="shared" si="4"/>
        <v>-12929.227417552462</v>
      </c>
      <c r="R5" s="327">
        <f t="shared" si="5"/>
        <v>-12879.269066986475</v>
      </c>
      <c r="S5" s="321"/>
      <c r="T5" s="320">
        <f t="shared" si="0"/>
        <v>0.14016092797679294</v>
      </c>
      <c r="U5" s="326">
        <f t="shared" si="1"/>
        <v>0.14293639189712548</v>
      </c>
      <c r="V5" s="326">
        <f t="shared" si="2"/>
        <v>0.14571185581745802</v>
      </c>
    </row>
    <row r="6" spans="1:22" x14ac:dyDescent="0.25">
      <c r="A6" s="321"/>
      <c r="B6" s="321"/>
      <c r="C6" s="321"/>
      <c r="D6" s="350"/>
      <c r="E6" s="349"/>
      <c r="F6" s="348"/>
      <c r="G6" s="348"/>
      <c r="H6" s="329">
        <f t="shared" si="6"/>
        <v>2548.1256706180957</v>
      </c>
      <c r="I6" s="328">
        <f>SUM($H$3:H6)</f>
        <v>7568.9399024996492</v>
      </c>
      <c r="J6" s="329">
        <f t="shared" si="7"/>
        <v>2650.0407057727066</v>
      </c>
      <c r="K6" s="328">
        <f>SUM($J$3:J6)</f>
        <v>7720.8132882202444</v>
      </c>
      <c r="L6" s="329">
        <f t="shared" si="8"/>
        <v>2753.9540749499565</v>
      </c>
      <c r="M6" s="328">
        <f>SUM($L$3:L6)</f>
        <v>7874.6850079634814</v>
      </c>
      <c r="N6" s="328"/>
      <c r="O6" s="322">
        <v>3</v>
      </c>
      <c r="P6" s="327">
        <f t="shared" si="3"/>
        <v>-10431.060097500351</v>
      </c>
      <c r="Q6" s="327">
        <f t="shared" si="4"/>
        <v>-10279.186711779756</v>
      </c>
      <c r="R6" s="327">
        <f t="shared" si="5"/>
        <v>-10125.314992036518</v>
      </c>
      <c r="S6" s="321"/>
      <c r="T6" s="320">
        <f t="shared" si="0"/>
        <v>0.14156253725656087</v>
      </c>
      <c r="U6" s="326">
        <f t="shared" si="1"/>
        <v>0.14722448365403926</v>
      </c>
      <c r="V6" s="326">
        <f t="shared" si="2"/>
        <v>0.15299744860833092</v>
      </c>
    </row>
    <row r="7" spans="1:22" x14ac:dyDescent="0.25">
      <c r="A7" s="321"/>
      <c r="B7" s="321"/>
      <c r="C7" s="321"/>
      <c r="D7" s="321"/>
      <c r="E7" s="321"/>
      <c r="F7" s="321"/>
      <c r="G7" s="321"/>
      <c r="H7" s="329">
        <f t="shared" si="6"/>
        <v>2573.6069273242765</v>
      </c>
      <c r="I7" s="328">
        <f>SUM($H$3:H7)</f>
        <v>10142.546829823925</v>
      </c>
      <c r="J7" s="329">
        <f t="shared" si="7"/>
        <v>2729.541926945888</v>
      </c>
      <c r="K7" s="328">
        <f>SUM($J$3:J7)</f>
        <v>10450.355215166132</v>
      </c>
      <c r="L7" s="329">
        <f t="shared" si="8"/>
        <v>2891.6517786974546</v>
      </c>
      <c r="M7" s="328">
        <f>SUM($L$3:L7)</f>
        <v>10766.336786660937</v>
      </c>
      <c r="N7" s="328"/>
      <c r="O7" s="322">
        <v>4</v>
      </c>
      <c r="P7" s="327">
        <f t="shared" si="3"/>
        <v>-7857.4531701760752</v>
      </c>
      <c r="Q7" s="327">
        <f t="shared" si="4"/>
        <v>-7549.6447848338685</v>
      </c>
      <c r="R7" s="327">
        <f t="shared" si="5"/>
        <v>-7233.6632133390631</v>
      </c>
      <c r="S7" s="321"/>
      <c r="T7" s="320">
        <f t="shared" si="0"/>
        <v>0.14297816262912647</v>
      </c>
      <c r="U7" s="326">
        <f t="shared" si="1"/>
        <v>0.15164121816366044</v>
      </c>
      <c r="V7" s="326">
        <f t="shared" si="2"/>
        <v>0.16064732103874749</v>
      </c>
    </row>
    <row r="8" spans="1:22" x14ac:dyDescent="0.25">
      <c r="A8" s="321"/>
      <c r="B8" s="321"/>
      <c r="C8" s="321"/>
      <c r="D8" s="332" t="s">
        <v>149</v>
      </c>
      <c r="E8" s="347">
        <f>($E$9)*(1-E12)+$E$10</f>
        <v>18000</v>
      </c>
      <c r="F8" s="346"/>
      <c r="G8" s="346"/>
      <c r="H8" s="329">
        <f t="shared" si="6"/>
        <v>2599.3429965975192</v>
      </c>
      <c r="I8" s="328">
        <f>SUM($H$3:H8)</f>
        <v>12741.889826421444</v>
      </c>
      <c r="J8" s="329">
        <f t="shared" si="7"/>
        <v>2811.4281847542647</v>
      </c>
      <c r="K8" s="328">
        <f>SUM($J$3:J8)</f>
        <v>13261.783399920396</v>
      </c>
      <c r="L8" s="329">
        <f t="shared" si="8"/>
        <v>3036.2343676323276</v>
      </c>
      <c r="M8" s="328">
        <f>SUM($L$3:L8)</f>
        <v>13802.571154293264</v>
      </c>
      <c r="N8" s="328"/>
      <c r="O8" s="322">
        <v>5</v>
      </c>
      <c r="P8" s="327">
        <f t="shared" si="3"/>
        <v>-5258.110173578556</v>
      </c>
      <c r="Q8" s="327">
        <f t="shared" si="4"/>
        <v>-4738.2166000796042</v>
      </c>
      <c r="R8" s="327">
        <f t="shared" si="5"/>
        <v>-4197.428845706736</v>
      </c>
      <c r="S8" s="321"/>
      <c r="T8" s="320">
        <f t="shared" si="0"/>
        <v>0.14440794425541773</v>
      </c>
      <c r="U8" s="326">
        <f t="shared" si="1"/>
        <v>0.15619045470857026</v>
      </c>
      <c r="V8" s="326">
        <f t="shared" si="2"/>
        <v>0.16867968709068487</v>
      </c>
    </row>
    <row r="9" spans="1:22" x14ac:dyDescent="0.25">
      <c r="A9" s="321"/>
      <c r="B9" s="321"/>
      <c r="C9" s="321"/>
      <c r="D9" s="332" t="s">
        <v>148</v>
      </c>
      <c r="E9" s="345">
        <f>Données!C24</f>
        <v>20000</v>
      </c>
      <c r="F9" s="333"/>
      <c r="G9" s="333"/>
      <c r="H9" s="329">
        <f t="shared" si="6"/>
        <v>2625.3364265634946</v>
      </c>
      <c r="I9" s="328">
        <f>SUM($H$3:H9)</f>
        <v>15367.226252984939</v>
      </c>
      <c r="J9" s="329">
        <f t="shared" si="7"/>
        <v>2895.7710302968926</v>
      </c>
      <c r="K9" s="328">
        <f>SUM($J$3:J9)</f>
        <v>16157.554430217289</v>
      </c>
      <c r="L9" s="329">
        <f t="shared" si="8"/>
        <v>3188.0460860139442</v>
      </c>
      <c r="M9" s="328">
        <f>SUM($L$3:L9)</f>
        <v>16990.617240307209</v>
      </c>
      <c r="N9" s="328"/>
      <c r="O9" s="322">
        <v>6</v>
      </c>
      <c r="P9" s="327">
        <f t="shared" si="3"/>
        <v>-2632.7737470150605</v>
      </c>
      <c r="Q9" s="327">
        <f t="shared" si="4"/>
        <v>-1842.4455697827107</v>
      </c>
      <c r="R9" s="327">
        <f t="shared" si="5"/>
        <v>-1009.3827596927913</v>
      </c>
      <c r="S9" s="321"/>
      <c r="T9" s="320">
        <f t="shared" si="0"/>
        <v>0.14585202369797193</v>
      </c>
      <c r="U9" s="326">
        <f t="shared" si="1"/>
        <v>0.16087616834982738</v>
      </c>
      <c r="V9" s="326">
        <f t="shared" si="2"/>
        <v>0.17711367144521911</v>
      </c>
    </row>
    <row r="10" spans="1:22" x14ac:dyDescent="0.25">
      <c r="A10" s="321"/>
      <c r="B10" s="321"/>
      <c r="C10" s="321"/>
      <c r="D10" s="332" t="s">
        <v>147</v>
      </c>
      <c r="E10" s="345">
        <f>Données!C25</f>
        <v>5000</v>
      </c>
      <c r="F10" s="333"/>
      <c r="G10" s="333"/>
      <c r="H10" s="329">
        <f t="shared" si="6"/>
        <v>2651.5897908291295</v>
      </c>
      <c r="I10" s="328">
        <f>SUM($H$3:H10)</f>
        <v>18018.816043814069</v>
      </c>
      <c r="J10" s="329">
        <f t="shared" si="7"/>
        <v>2982.6441612057993</v>
      </c>
      <c r="K10" s="328">
        <f>SUM($J$3:J10)</f>
        <v>19140.19859142309</v>
      </c>
      <c r="L10" s="329">
        <f t="shared" si="8"/>
        <v>3347.4483903146415</v>
      </c>
      <c r="M10" s="328">
        <f>SUM($L$3:L10)</f>
        <v>20338.065630621852</v>
      </c>
      <c r="N10" s="328"/>
      <c r="O10" s="322">
        <v>7</v>
      </c>
      <c r="P10" s="327">
        <f t="shared" si="3"/>
        <v>18.816043814069417</v>
      </c>
      <c r="Q10" s="327">
        <f t="shared" si="4"/>
        <v>1140.19859142309</v>
      </c>
      <c r="R10" s="327">
        <f t="shared" si="5"/>
        <v>2338.0656306218516</v>
      </c>
      <c r="S10" s="321"/>
      <c r="T10" s="320">
        <f t="shared" si="0"/>
        <v>0.14731054393495163</v>
      </c>
      <c r="U10" s="326">
        <f t="shared" si="1"/>
        <v>0.16570245340032219</v>
      </c>
      <c r="V10" s="326">
        <f t="shared" si="2"/>
        <v>0.18596935501748008</v>
      </c>
    </row>
    <row r="11" spans="1:22" x14ac:dyDescent="0.25">
      <c r="A11" s="321"/>
      <c r="B11" s="321"/>
      <c r="C11" s="321"/>
      <c r="D11" s="321"/>
      <c r="E11" s="321"/>
      <c r="F11" s="321"/>
      <c r="G11" s="321"/>
      <c r="H11" s="329">
        <f t="shared" si="6"/>
        <v>2678.1056887374207</v>
      </c>
      <c r="I11" s="328">
        <f>SUM($H$3:H11)</f>
        <v>20696.921732551491</v>
      </c>
      <c r="J11" s="329">
        <f t="shared" si="7"/>
        <v>3072.1234860419731</v>
      </c>
      <c r="K11" s="328">
        <f>SUM($J$3:J11)</f>
        <v>22212.322077465062</v>
      </c>
      <c r="L11" s="329">
        <f t="shared" si="8"/>
        <v>3514.8208098303739</v>
      </c>
      <c r="M11" s="328">
        <f>SUM($L$3:L11)</f>
        <v>23852.886440452225</v>
      </c>
      <c r="N11" s="328"/>
      <c r="O11" s="322">
        <v>8</v>
      </c>
      <c r="P11" s="327">
        <f t="shared" si="3"/>
        <v>2696.921732551491</v>
      </c>
      <c r="Q11" s="327">
        <f t="shared" si="4"/>
        <v>4212.3220774650617</v>
      </c>
      <c r="R11" s="327">
        <f t="shared" si="5"/>
        <v>5852.8864404522246</v>
      </c>
      <c r="S11" s="321"/>
      <c r="T11" s="320">
        <f t="shared" si="0"/>
        <v>0.14878364937430114</v>
      </c>
      <c r="U11" s="326">
        <f t="shared" si="1"/>
        <v>0.17067352700233185</v>
      </c>
      <c r="V11" s="326">
        <f t="shared" si="2"/>
        <v>0.19526782276835411</v>
      </c>
    </row>
    <row r="12" spans="1:22" x14ac:dyDescent="0.25">
      <c r="A12" s="321"/>
      <c r="B12" s="321"/>
      <c r="C12" s="321"/>
      <c r="D12" s="332" t="s">
        <v>146</v>
      </c>
      <c r="E12" s="344">
        <f>Données!F24</f>
        <v>0.35</v>
      </c>
      <c r="F12" s="333"/>
      <c r="G12" s="333"/>
      <c r="H12" s="329">
        <f t="shared" si="6"/>
        <v>2704.8867456247949</v>
      </c>
      <c r="I12" s="328">
        <f>SUM($H$3:H12)</f>
        <v>23401.808478176285</v>
      </c>
      <c r="J12" s="329">
        <f t="shared" si="7"/>
        <v>3164.2871906232326</v>
      </c>
      <c r="K12" s="328">
        <f>SUM($J$3:J12)</f>
        <v>25376.609268088294</v>
      </c>
      <c r="L12" s="329">
        <f t="shared" si="8"/>
        <v>3690.561850321893</v>
      </c>
      <c r="M12" s="328">
        <f>SUM($L$3:L12)</f>
        <v>27543.448290774119</v>
      </c>
      <c r="N12" s="328"/>
      <c r="O12" s="322">
        <v>9</v>
      </c>
      <c r="P12" s="327">
        <f t="shared" si="3"/>
        <v>5401.8084781762846</v>
      </c>
      <c r="Q12" s="327">
        <f t="shared" si="4"/>
        <v>7376.6092680882939</v>
      </c>
      <c r="R12" s="327">
        <f t="shared" si="5"/>
        <v>9543.4482907741185</v>
      </c>
      <c r="S12" s="321"/>
      <c r="T12" s="320">
        <f t="shared" si="0"/>
        <v>0.15027148586804417</v>
      </c>
      <c r="U12" s="326">
        <f t="shared" si="1"/>
        <v>0.17579373281240182</v>
      </c>
      <c r="V12" s="326">
        <f t="shared" si="2"/>
        <v>0.20503121390677184</v>
      </c>
    </row>
    <row r="13" spans="1:22" x14ac:dyDescent="0.25">
      <c r="A13" s="321"/>
      <c r="B13" s="321"/>
      <c r="C13" s="321"/>
      <c r="D13" s="332" t="s">
        <v>145</v>
      </c>
      <c r="E13" s="343">
        <f>[1]Données!B29</f>
        <v>0.01</v>
      </c>
      <c r="F13" s="342">
        <f>[1]Données!C29</f>
        <v>0.03</v>
      </c>
      <c r="G13" s="341">
        <f>[1]Données!D29</f>
        <v>0.05</v>
      </c>
      <c r="H13" s="329">
        <f t="shared" si="6"/>
        <v>2731.9356130810429</v>
      </c>
      <c r="I13" s="328">
        <f>SUM($H$3:H13)</f>
        <v>26133.744091257329</v>
      </c>
      <c r="J13" s="329">
        <f t="shared" si="7"/>
        <v>3259.2158063419297</v>
      </c>
      <c r="K13" s="328">
        <f>SUM($J$3:J13)</f>
        <v>28635.825074430224</v>
      </c>
      <c r="L13" s="329">
        <f t="shared" si="8"/>
        <v>3875.0899428379876</v>
      </c>
      <c r="M13" s="328">
        <f>SUM($L$3:L13)</f>
        <v>31418.538233612107</v>
      </c>
      <c r="N13" s="328"/>
      <c r="O13" s="322">
        <v>10</v>
      </c>
      <c r="P13" s="327">
        <f t="shared" si="3"/>
        <v>8133.7440912573293</v>
      </c>
      <c r="Q13" s="327">
        <f t="shared" si="4"/>
        <v>10635.825074430224</v>
      </c>
      <c r="R13" s="327">
        <f t="shared" si="5"/>
        <v>13418.538233612107</v>
      </c>
      <c r="S13" s="321"/>
      <c r="T13" s="320">
        <f t="shared" si="0"/>
        <v>0.1517742007267246</v>
      </c>
      <c r="U13" s="326">
        <f t="shared" si="1"/>
        <v>0.18106754479677387</v>
      </c>
      <c r="V13" s="326">
        <f t="shared" si="2"/>
        <v>0.21528277460211043</v>
      </c>
    </row>
    <row r="14" spans="1:22" x14ac:dyDescent="0.25">
      <c r="A14" s="321"/>
      <c r="B14" s="321"/>
      <c r="C14" s="321"/>
      <c r="D14" s="322"/>
      <c r="E14" s="340"/>
      <c r="F14" s="340"/>
      <c r="G14" s="340"/>
      <c r="H14" s="329">
        <f t="shared" si="6"/>
        <v>2759.2549692118532</v>
      </c>
      <c r="I14" s="328">
        <f>SUM($H$3:H14)</f>
        <v>28892.999060469181</v>
      </c>
      <c r="J14" s="329">
        <f t="shared" si="7"/>
        <v>3356.9922805321876</v>
      </c>
      <c r="K14" s="328">
        <f>SUM($J$3:J14)</f>
        <v>31992.817354962412</v>
      </c>
      <c r="L14" s="329">
        <f t="shared" si="8"/>
        <v>4068.8444399798873</v>
      </c>
      <c r="M14" s="328">
        <f>SUM($L$3:L14)</f>
        <v>35487.382673591994</v>
      </c>
      <c r="N14" s="328"/>
      <c r="O14" s="322">
        <v>11</v>
      </c>
      <c r="P14" s="327">
        <f t="shared" si="3"/>
        <v>10892.999060469181</v>
      </c>
      <c r="Q14" s="327">
        <f t="shared" si="4"/>
        <v>13992.817354962412</v>
      </c>
      <c r="R14" s="327">
        <f t="shared" si="5"/>
        <v>17487.382673591994</v>
      </c>
      <c r="S14" s="321"/>
      <c r="T14" s="320">
        <f t="shared" si="0"/>
        <v>0.15329194273399185</v>
      </c>
      <c r="U14" s="326">
        <f t="shared" si="1"/>
        <v>0.18649957114067708</v>
      </c>
      <c r="V14" s="326">
        <f t="shared" si="2"/>
        <v>0.22604691333221597</v>
      </c>
    </row>
    <row r="15" spans="1:22" x14ac:dyDescent="0.25">
      <c r="A15" s="321"/>
      <c r="B15" s="321"/>
      <c r="C15" s="321"/>
      <c r="D15" s="332" t="s">
        <v>144</v>
      </c>
      <c r="E15" s="338">
        <f>F15*G15</f>
        <v>2497.9175282992801</v>
      </c>
      <c r="F15" s="337">
        <f>Résumé_BE!C15</f>
        <v>17842.26805928057</v>
      </c>
      <c r="G15" s="339">
        <f>Données!C33</f>
        <v>0.14000000000000001</v>
      </c>
      <c r="H15" s="329">
        <f t="shared" si="6"/>
        <v>2786.8475189039718</v>
      </c>
      <c r="I15" s="328">
        <f>SUM($H$3:H15)</f>
        <v>31679.846579373152</v>
      </c>
      <c r="J15" s="329">
        <f t="shared" si="7"/>
        <v>3457.7020489481533</v>
      </c>
      <c r="K15" s="328">
        <f>SUM($J$3:J15)</f>
        <v>35450.519403910563</v>
      </c>
      <c r="L15" s="329">
        <f t="shared" si="8"/>
        <v>4272.286661978882</v>
      </c>
      <c r="M15" s="328">
        <f>SUM($L$3:L15)</f>
        <v>39759.669335570878</v>
      </c>
      <c r="N15" s="328"/>
      <c r="O15" s="322">
        <v>12</v>
      </c>
      <c r="P15" s="327">
        <f t="shared" si="3"/>
        <v>13679.846579373152</v>
      </c>
      <c r="Q15" s="327">
        <f t="shared" si="4"/>
        <v>17450.519403910563</v>
      </c>
      <c r="R15" s="327">
        <f t="shared" si="5"/>
        <v>21759.669335570878</v>
      </c>
      <c r="S15" s="321"/>
      <c r="T15" s="320">
        <f t="shared" si="0"/>
        <v>0.15482486216133176</v>
      </c>
      <c r="U15" s="326">
        <f t="shared" si="1"/>
        <v>0.19209455827489741</v>
      </c>
      <c r="V15" s="326">
        <f t="shared" si="2"/>
        <v>0.23734925899882678</v>
      </c>
    </row>
    <row r="16" spans="1:22" x14ac:dyDescent="0.25">
      <c r="A16" s="321"/>
      <c r="B16" s="321"/>
      <c r="C16" s="321"/>
      <c r="D16" s="332" t="s">
        <v>143</v>
      </c>
      <c r="E16" s="338">
        <f>F16*G15</f>
        <v>4216</v>
      </c>
      <c r="F16" s="337">
        <f>Résumé_BE!C8</f>
        <v>30114.285714285714</v>
      </c>
      <c r="G16" s="336"/>
      <c r="H16" s="329">
        <f t="shared" si="6"/>
        <v>2814.7159940930114</v>
      </c>
      <c r="I16" s="328">
        <f>SUM($H$3:H16)</f>
        <v>34494.562573466166</v>
      </c>
      <c r="J16" s="329">
        <f t="shared" si="7"/>
        <v>3561.4331104165981</v>
      </c>
      <c r="K16" s="328">
        <f>SUM($J$3:J16)</f>
        <v>39011.95251432716</v>
      </c>
      <c r="L16" s="329">
        <f t="shared" si="8"/>
        <v>4485.9009950778263</v>
      </c>
      <c r="M16" s="328">
        <f>SUM($L$3:L16)</f>
        <v>44245.570330648705</v>
      </c>
      <c r="N16" s="328"/>
      <c r="O16" s="322">
        <v>13</v>
      </c>
      <c r="P16" s="327">
        <f t="shared" si="3"/>
        <v>16494.562573466166</v>
      </c>
      <c r="Q16" s="327">
        <f t="shared" si="4"/>
        <v>21011.95251432716</v>
      </c>
      <c r="R16" s="327">
        <f t="shared" si="5"/>
        <v>26245.570330648705</v>
      </c>
      <c r="S16" s="321"/>
      <c r="T16" s="320">
        <f t="shared" si="0"/>
        <v>0.15637311078294508</v>
      </c>
      <c r="U16" s="326">
        <f t="shared" si="1"/>
        <v>0.19785739502314434</v>
      </c>
      <c r="V16" s="326">
        <f t="shared" si="2"/>
        <v>0.24921672194876812</v>
      </c>
    </row>
    <row r="17" spans="1:22" x14ac:dyDescent="0.25">
      <c r="A17" s="321"/>
      <c r="B17" s="321"/>
      <c r="C17" s="321"/>
      <c r="D17" s="332" t="s">
        <v>142</v>
      </c>
      <c r="E17" s="335">
        <f>$E$15/$E$16</f>
        <v>0.59248518223417457</v>
      </c>
      <c r="F17" s="334"/>
      <c r="G17" s="321"/>
      <c r="H17" s="329">
        <f t="shared" si="6"/>
        <v>2842.8631540339416</v>
      </c>
      <c r="I17" s="328">
        <f>SUM($H$3:H17)</f>
        <v>37337.425727500107</v>
      </c>
      <c r="J17" s="329">
        <f t="shared" si="7"/>
        <v>3668.2761037290961</v>
      </c>
      <c r="K17" s="328">
        <f>SUM($J$3:J17)</f>
        <v>42680.228618056259</v>
      </c>
      <c r="L17" s="329">
        <f t="shared" si="8"/>
        <v>4710.1960448317177</v>
      </c>
      <c r="M17" s="328">
        <f>SUM($L$3:L17)</f>
        <v>48955.766375480423</v>
      </c>
      <c r="N17" s="328"/>
      <c r="O17" s="322">
        <v>14</v>
      </c>
      <c r="P17" s="327">
        <f t="shared" si="3"/>
        <v>19337.425727500107</v>
      </c>
      <c r="Q17" s="327">
        <f t="shared" si="4"/>
        <v>24680.228618056259</v>
      </c>
      <c r="R17" s="327">
        <f t="shared" si="5"/>
        <v>30955.766375480423</v>
      </c>
      <c r="S17" s="321"/>
      <c r="T17" s="320">
        <f t="shared" si="0"/>
        <v>0.15793684189077453</v>
      </c>
      <c r="U17" s="326">
        <f t="shared" si="1"/>
        <v>0.20379311687383866</v>
      </c>
      <c r="V17" s="326">
        <f t="shared" si="2"/>
        <v>0.26167755804620652</v>
      </c>
    </row>
    <row r="18" spans="1:22" x14ac:dyDescent="0.25">
      <c r="A18" s="321"/>
      <c r="B18" s="321"/>
      <c r="C18" s="321"/>
      <c r="D18" s="322"/>
      <c r="E18" s="333"/>
      <c r="F18" s="333"/>
      <c r="G18" s="333"/>
      <c r="H18" s="329">
        <f t="shared" si="6"/>
        <v>2871.2917855742812</v>
      </c>
      <c r="I18" s="328">
        <f>SUM($H$3:H18)</f>
        <v>40208.717513074385</v>
      </c>
      <c r="J18" s="329">
        <f t="shared" si="7"/>
        <v>3778.3243868409691</v>
      </c>
      <c r="K18" s="328">
        <f>SUM($J$3:J18)</f>
        <v>46458.553004897229</v>
      </c>
      <c r="L18" s="329">
        <f t="shared" si="8"/>
        <v>4945.7058470733036</v>
      </c>
      <c r="M18" s="328">
        <f>SUM($L$3:L18)</f>
        <v>53901.472222553726</v>
      </c>
      <c r="N18" s="328"/>
      <c r="O18" s="322">
        <v>15</v>
      </c>
      <c r="P18" s="327">
        <f t="shared" si="3"/>
        <v>22208.717513074385</v>
      </c>
      <c r="Q18" s="327">
        <f t="shared" si="4"/>
        <v>28458.553004897229</v>
      </c>
      <c r="R18" s="327">
        <f t="shared" si="5"/>
        <v>35901.472222553726</v>
      </c>
      <c r="S18" s="321"/>
      <c r="T18" s="320">
        <f t="shared" si="0"/>
        <v>0.1595162103096823</v>
      </c>
      <c r="U18" s="326">
        <f t="shared" si="1"/>
        <v>0.20990691038005382</v>
      </c>
      <c r="V18" s="326">
        <f t="shared" si="2"/>
        <v>0.27476143594851687</v>
      </c>
    </row>
    <row r="19" spans="1:22" x14ac:dyDescent="0.25">
      <c r="A19" s="321"/>
      <c r="B19" s="321"/>
      <c r="C19" s="321"/>
      <c r="D19" s="332" t="s">
        <v>141</v>
      </c>
      <c r="E19" s="331">
        <f>AVERAGE($T$4:$T$18)</f>
        <v>0.14892117597434956</v>
      </c>
      <c r="F19" s="331">
        <f>AVERAGE($U$4:$U$18)</f>
        <v>0.17206871483295269</v>
      </c>
      <c r="G19" s="331">
        <f>AVERAGE($V$4:$V$18)</f>
        <v>0.19963508230575452</v>
      </c>
      <c r="H19" s="329">
        <f t="shared" si="6"/>
        <v>2900.0047034300242</v>
      </c>
      <c r="I19" s="328">
        <f>SUM($H$3:H19)</f>
        <v>43108.722216504408</v>
      </c>
      <c r="J19" s="329">
        <f t="shared" si="7"/>
        <v>3891.674118446198</v>
      </c>
      <c r="K19" s="328">
        <f>SUM($J$3:J19)</f>
        <v>50350.227123343429</v>
      </c>
      <c r="L19" s="329">
        <f t="shared" si="8"/>
        <v>5192.9911394269693</v>
      </c>
      <c r="M19" s="328">
        <f>SUM($L$3:L19)</f>
        <v>59094.463361980699</v>
      </c>
      <c r="N19" s="328"/>
      <c r="O19" s="322">
        <v>16</v>
      </c>
      <c r="P19" s="327">
        <f t="shared" si="3"/>
        <v>25108.722216504408</v>
      </c>
      <c r="Q19" s="327">
        <f t="shared" si="4"/>
        <v>32350.227123343429</v>
      </c>
      <c r="R19" s="327">
        <f t="shared" si="5"/>
        <v>41094.463361980699</v>
      </c>
      <c r="S19" s="321"/>
      <c r="T19" s="320">
        <f t="shared" si="0"/>
        <v>0.16111137241277912</v>
      </c>
      <c r="U19" s="326">
        <f t="shared" si="1"/>
        <v>0.21620411769145545</v>
      </c>
      <c r="V19" s="326">
        <f t="shared" si="2"/>
        <v>0.28849950774594274</v>
      </c>
    </row>
    <row r="20" spans="1:22" x14ac:dyDescent="0.25">
      <c r="A20" s="321"/>
      <c r="B20" s="321"/>
      <c r="C20" s="321"/>
      <c r="D20" s="332" t="s">
        <v>140</v>
      </c>
      <c r="E20" s="331">
        <f>AVERAGE($T$4:$T$23)</f>
        <v>0.1527823778730403</v>
      </c>
      <c r="F20" s="331">
        <f>AVERAGE($U$4:$U$23)</f>
        <v>0.18644438729997254</v>
      </c>
      <c r="G20" s="331">
        <f>AVERAGE($V$4:$V$23)</f>
        <v>0.22943340650984587</v>
      </c>
      <c r="H20" s="329">
        <f t="shared" si="6"/>
        <v>2929.0047504643244</v>
      </c>
      <c r="I20" s="328">
        <f>SUM($H$3:H20)</f>
        <v>46037.72696696873</v>
      </c>
      <c r="J20" s="329">
        <f t="shared" si="7"/>
        <v>4008.4243419995842</v>
      </c>
      <c r="K20" s="328">
        <f>SUM($J$3:J20)</f>
        <v>54358.651465343013</v>
      </c>
      <c r="L20" s="329">
        <f t="shared" si="8"/>
        <v>5452.6406963983181</v>
      </c>
      <c r="M20" s="328">
        <f>SUM($L$3:L20)</f>
        <v>64547.104058379016</v>
      </c>
      <c r="N20" s="328"/>
      <c r="O20" s="322">
        <v>17</v>
      </c>
      <c r="P20" s="327">
        <f t="shared" si="3"/>
        <v>28037.72696696873</v>
      </c>
      <c r="Q20" s="327">
        <f t="shared" si="4"/>
        <v>36358.651465343013</v>
      </c>
      <c r="R20" s="327">
        <f t="shared" si="5"/>
        <v>46547.104058379016</v>
      </c>
      <c r="S20" s="321"/>
      <c r="T20" s="320">
        <f t="shared" si="0"/>
        <v>0.1627224861369069</v>
      </c>
      <c r="U20" s="326">
        <f t="shared" si="1"/>
        <v>0.22269024122219913</v>
      </c>
      <c r="V20" s="326">
        <f t="shared" si="2"/>
        <v>0.30292448313323989</v>
      </c>
    </row>
    <row r="21" spans="1:22" x14ac:dyDescent="0.25">
      <c r="A21" s="321"/>
      <c r="B21" s="321"/>
      <c r="C21" s="321"/>
      <c r="D21" s="321"/>
      <c r="E21" s="330"/>
      <c r="F21" s="330"/>
      <c r="G21" s="330"/>
      <c r="H21" s="329">
        <f t="shared" si="6"/>
        <v>2958.2947979689675</v>
      </c>
      <c r="I21" s="328">
        <f>SUM($H$3:H21)</f>
        <v>48996.021764937701</v>
      </c>
      <c r="J21" s="329">
        <f t="shared" si="7"/>
        <v>4128.677072259572</v>
      </c>
      <c r="K21" s="328">
        <f>SUM($J$3:J21)</f>
        <v>58487.328537602589</v>
      </c>
      <c r="L21" s="329">
        <f t="shared" si="8"/>
        <v>5725.2727312182342</v>
      </c>
      <c r="M21" s="328">
        <f>SUM($L$3:L21)</f>
        <v>70272.376789597256</v>
      </c>
      <c r="N21" s="328"/>
      <c r="O21" s="322">
        <v>18</v>
      </c>
      <c r="P21" s="327">
        <f t="shared" si="3"/>
        <v>30996.021764937701</v>
      </c>
      <c r="Q21" s="327">
        <f t="shared" si="4"/>
        <v>40487.328537602589</v>
      </c>
      <c r="R21" s="327">
        <f t="shared" si="5"/>
        <v>52272.376789597256</v>
      </c>
      <c r="S21" s="321"/>
      <c r="T21" s="320">
        <f t="shared" si="0"/>
        <v>0.16434971099827597</v>
      </c>
      <c r="U21" s="326">
        <f t="shared" si="1"/>
        <v>0.2293709484588651</v>
      </c>
      <c r="V21" s="326">
        <f t="shared" si="2"/>
        <v>0.31807070728990189</v>
      </c>
    </row>
    <row r="22" spans="1:22" x14ac:dyDescent="0.25">
      <c r="A22" s="321"/>
      <c r="B22" s="321"/>
      <c r="C22" s="321"/>
      <c r="D22" s="321"/>
      <c r="E22" s="330"/>
      <c r="F22" s="330"/>
      <c r="G22" s="330"/>
      <c r="H22" s="329">
        <f t="shared" si="6"/>
        <v>2987.8777459486573</v>
      </c>
      <c r="I22" s="328">
        <f>SUM($H$3:H22)</f>
        <v>51983.89951088636</v>
      </c>
      <c r="J22" s="329">
        <f t="shared" si="7"/>
        <v>4252.537384427359</v>
      </c>
      <c r="K22" s="328">
        <f>SUM($J$3:J22)</f>
        <v>62739.865922029945</v>
      </c>
      <c r="L22" s="329">
        <f t="shared" si="8"/>
        <v>6011.5363677791465</v>
      </c>
      <c r="M22" s="328">
        <f>SUM($L$3:L22)</f>
        <v>76283.913157376403</v>
      </c>
      <c r="N22" s="328"/>
      <c r="O22" s="322">
        <v>19</v>
      </c>
      <c r="P22" s="327">
        <f t="shared" si="3"/>
        <v>33983.89951088636</v>
      </c>
      <c r="Q22" s="327">
        <f t="shared" si="4"/>
        <v>44739.865922029945</v>
      </c>
      <c r="R22" s="327">
        <f t="shared" si="5"/>
        <v>58283.913157376403</v>
      </c>
      <c r="S22" s="321"/>
      <c r="T22" s="320">
        <f t="shared" si="0"/>
        <v>0.16599320810825874</v>
      </c>
      <c r="U22" s="326">
        <f t="shared" si="1"/>
        <v>0.23625207691263106</v>
      </c>
      <c r="V22" s="326">
        <f t="shared" si="2"/>
        <v>0.33397424265439701</v>
      </c>
    </row>
    <row r="23" spans="1:22" x14ac:dyDescent="0.25">
      <c r="A23" s="321"/>
      <c r="B23" s="321"/>
      <c r="C23" s="321"/>
      <c r="D23" s="321"/>
      <c r="E23" s="330"/>
      <c r="F23" s="330"/>
      <c r="G23" s="330"/>
      <c r="H23" s="329">
        <f t="shared" si="6"/>
        <v>3017.7565234081439</v>
      </c>
      <c r="I23" s="328">
        <f>SUM($H$3:H23)</f>
        <v>55001.656034294501</v>
      </c>
      <c r="J23" s="329">
        <f t="shared" si="7"/>
        <v>4380.1135059601802</v>
      </c>
      <c r="K23" s="328">
        <f>SUM($J$3:J23)</f>
        <v>67119.979427990125</v>
      </c>
      <c r="L23" s="329">
        <f t="shared" si="8"/>
        <v>6312.1131861681042</v>
      </c>
      <c r="M23" s="328">
        <f>SUM($L$3:L23)</f>
        <v>82596.026343544509</v>
      </c>
      <c r="N23" s="328"/>
      <c r="O23" s="322">
        <v>20</v>
      </c>
      <c r="P23" s="327">
        <f t="shared" si="3"/>
        <v>37001.656034294501</v>
      </c>
      <c r="Q23" s="327">
        <f t="shared" si="4"/>
        <v>49119.979427990125</v>
      </c>
      <c r="R23" s="327">
        <f t="shared" si="5"/>
        <v>64596.026343544509</v>
      </c>
      <c r="S23" s="321"/>
      <c r="T23" s="320">
        <f t="shared" si="0"/>
        <v>0.16765314018934133</v>
      </c>
      <c r="U23" s="326">
        <f t="shared" si="1"/>
        <v>0.24333963922001001</v>
      </c>
      <c r="V23" s="326">
        <f t="shared" si="2"/>
        <v>0.35067295478711691</v>
      </c>
    </row>
    <row r="24" spans="1:22" x14ac:dyDescent="0.25">
      <c r="A24" s="321"/>
      <c r="B24" s="321"/>
      <c r="C24" s="321"/>
      <c r="D24" s="321"/>
      <c r="F24" s="324" t="s">
        <v>139</v>
      </c>
      <c r="G24" s="325">
        <f>E8/E15</f>
        <v>7.2060025185280603</v>
      </c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1"/>
      <c r="T24" s="320"/>
      <c r="U24" s="320"/>
      <c r="V24" s="320"/>
    </row>
    <row r="25" spans="1:22" x14ac:dyDescent="0.25">
      <c r="A25" s="321"/>
      <c r="B25" s="321"/>
      <c r="C25" s="321"/>
      <c r="D25" s="321"/>
      <c r="F25" s="324" t="s">
        <v>138</v>
      </c>
      <c r="G25" s="323">
        <f>E15/E8</f>
        <v>0.13877319601662666</v>
      </c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1"/>
      <c r="T25" s="320"/>
      <c r="U25" s="320"/>
      <c r="V25" s="320"/>
    </row>
    <row r="26" spans="1:22" x14ac:dyDescent="0.25">
      <c r="A26" s="321"/>
      <c r="B26" s="321"/>
      <c r="C26" s="321"/>
      <c r="D26" s="321"/>
      <c r="E26" s="321"/>
      <c r="F26" s="321"/>
      <c r="G26" s="321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1"/>
      <c r="T26" s="320"/>
      <c r="U26" s="320"/>
      <c r="V26" s="320"/>
    </row>
    <row r="27" spans="1:22" x14ac:dyDescent="0.25">
      <c r="A27" s="321"/>
      <c r="B27" s="321"/>
      <c r="C27" s="321"/>
      <c r="D27" s="321"/>
      <c r="E27" s="321"/>
      <c r="F27" s="321"/>
      <c r="G27" s="321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1"/>
      <c r="T27" s="320"/>
      <c r="U27" s="320"/>
      <c r="V27" s="320"/>
    </row>
    <row r="28" spans="1:22" x14ac:dyDescent="0.25">
      <c r="A28" s="321"/>
      <c r="B28" s="321"/>
      <c r="C28" s="321"/>
      <c r="D28" s="321"/>
      <c r="E28" s="321"/>
      <c r="F28" s="321"/>
      <c r="G28" s="321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1"/>
      <c r="T28" s="320"/>
      <c r="U28" s="320"/>
      <c r="V28" s="320"/>
    </row>
    <row r="29" spans="1:22" x14ac:dyDescent="0.25">
      <c r="A29" s="321"/>
      <c r="D29" s="321"/>
      <c r="E29" s="321"/>
      <c r="F29" s="321"/>
      <c r="G29" s="321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1"/>
      <c r="T29" s="320"/>
      <c r="U29" s="320"/>
      <c r="V29" s="320"/>
    </row>
    <row r="30" spans="1:22" x14ac:dyDescent="0.25">
      <c r="A30" s="321"/>
      <c r="D30" s="321"/>
      <c r="E30" s="321"/>
      <c r="F30" s="321"/>
      <c r="G30" s="321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1"/>
      <c r="T30" s="320"/>
      <c r="U30" s="320"/>
      <c r="V30" s="320"/>
    </row>
    <row r="31" spans="1:22" ht="13.8" x14ac:dyDescent="0.25">
      <c r="T31" s="319"/>
      <c r="U31" s="319"/>
      <c r="V31" s="319"/>
    </row>
    <row r="32" spans="1:22" ht="13.8" x14ac:dyDescent="0.25">
      <c r="T32" s="319"/>
      <c r="U32" s="319"/>
      <c r="V32" s="319"/>
    </row>
    <row r="33" spans="20:22" ht="13.8" x14ac:dyDescent="0.25">
      <c r="T33" s="319"/>
      <c r="U33" s="319"/>
      <c r="V33" s="319"/>
    </row>
  </sheetData>
  <sheetProtection selectLockedCells="1" selectUnlockedCells="1"/>
  <mergeCells count="4">
    <mergeCell ref="T2:V2"/>
    <mergeCell ref="H1:I1"/>
    <mergeCell ref="J1:K1"/>
    <mergeCell ref="L1:M1"/>
  </mergeCells>
  <pageMargins left="0.35433070866141736" right="0.31496062992125984" top="0.6692913385826772" bottom="0.51181102362204722" header="0.51181102362204722" footer="0.51181102362204722"/>
  <pageSetup paperSize="9" scale="105" orientation="landscape" horizontalDpi="4294967293" r:id="rId1"/>
  <headerFooter alignWithMargins="0">
    <oddFooter xml:space="preserve">&amp;LFengtech ©&amp;R&amp;T
&amp;D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zoomScale="90" zoomScaleNormal="90" workbookViewId="0">
      <selection activeCell="J36" sqref="J36"/>
    </sheetView>
  </sheetViews>
  <sheetFormatPr baseColWidth="10" defaultColWidth="11" defaultRowHeight="14.4" x14ac:dyDescent="0.3"/>
  <cols>
    <col min="1" max="1" width="2.19921875" style="362" customWidth="1"/>
    <col min="2" max="2" width="21.59765625" style="176" customWidth="1"/>
    <col min="3" max="3" width="5.3984375" style="176" customWidth="1"/>
    <col min="4" max="4" width="12.5" style="176" customWidth="1"/>
    <col min="5" max="5" width="8.8984375" style="176" customWidth="1"/>
    <col min="6" max="6" width="8.69921875" style="176" customWidth="1"/>
    <col min="7" max="7" width="9" style="176" customWidth="1"/>
    <col min="8" max="8" width="8.59765625" style="176" customWidth="1"/>
    <col min="9" max="9" width="9.69921875" style="176" customWidth="1"/>
    <col min="10" max="10" width="9.3984375" style="176" customWidth="1"/>
    <col min="11" max="11" width="9.19921875" style="176" customWidth="1"/>
    <col min="12" max="12" width="8.8984375" style="176" customWidth="1"/>
    <col min="13" max="13" width="8.59765625" style="176" customWidth="1"/>
    <col min="14" max="14" width="8.69921875" style="176" customWidth="1"/>
    <col min="15" max="15" width="10.59765625" style="176" customWidth="1"/>
    <col min="16" max="16" width="9.09765625" style="176" customWidth="1"/>
    <col min="17" max="17" width="8.59765625" style="176" customWidth="1"/>
    <col min="18" max="18" width="8.69921875" style="176" customWidth="1"/>
    <col min="19" max="19" width="8.59765625" style="241" customWidth="1"/>
    <col min="20" max="20" width="8.69921875" style="176" customWidth="1"/>
    <col min="21" max="21" width="8.8984375" style="361" customWidth="1"/>
    <col min="22" max="22" width="8.69921875" style="176" customWidth="1"/>
    <col min="23" max="23" width="8.59765625" style="176" customWidth="1"/>
    <col min="24" max="24" width="6.59765625" style="176" customWidth="1"/>
    <col min="25" max="25" width="12" style="176" customWidth="1"/>
    <col min="26" max="16384" width="11" style="176"/>
  </cols>
  <sheetData>
    <row r="2" spans="1:25" ht="18" x14ac:dyDescent="0.35">
      <c r="B2" s="402" t="s">
        <v>177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</row>
    <row r="3" spans="1:25" ht="18" x14ac:dyDescent="0.35"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</row>
    <row r="5" spans="1:25" x14ac:dyDescent="0.3">
      <c r="C5" s="372" t="s">
        <v>17</v>
      </c>
      <c r="D5" s="391">
        <v>1</v>
      </c>
      <c r="E5" s="391">
        <v>2</v>
      </c>
      <c r="F5" s="391">
        <v>3</v>
      </c>
      <c r="G5" s="391">
        <v>4</v>
      </c>
      <c r="H5" s="391">
        <v>5</v>
      </c>
      <c r="I5" s="391">
        <v>6</v>
      </c>
      <c r="J5" s="391">
        <v>7</v>
      </c>
      <c r="K5" s="391">
        <v>8</v>
      </c>
      <c r="L5" s="391">
        <v>9</v>
      </c>
      <c r="M5" s="391">
        <v>10</v>
      </c>
      <c r="N5" s="391">
        <v>11</v>
      </c>
      <c r="O5" s="391">
        <v>12</v>
      </c>
      <c r="P5" s="391">
        <v>13</v>
      </c>
      <c r="Q5" s="391">
        <v>14</v>
      </c>
      <c r="R5" s="391">
        <v>15</v>
      </c>
      <c r="S5" s="391">
        <v>16</v>
      </c>
      <c r="T5" s="391">
        <v>17</v>
      </c>
      <c r="U5" s="391">
        <v>18</v>
      </c>
      <c r="V5" s="391">
        <v>19</v>
      </c>
      <c r="W5" s="391">
        <v>20</v>
      </c>
      <c r="X5" s="383" t="s">
        <v>174</v>
      </c>
      <c r="Y5" s="390">
        <f>Données!C24</f>
        <v>20000</v>
      </c>
    </row>
    <row r="6" spans="1:25" x14ac:dyDescent="0.3">
      <c r="A6" s="362" t="s">
        <v>176</v>
      </c>
      <c r="S6" s="176"/>
      <c r="U6" s="176"/>
      <c r="X6" s="383" t="s">
        <v>104</v>
      </c>
      <c r="Y6" s="385">
        <f>Données!C24*Données!F24</f>
        <v>7000</v>
      </c>
    </row>
    <row r="7" spans="1:25" x14ac:dyDescent="0.3">
      <c r="A7" s="374">
        <v>1</v>
      </c>
      <c r="B7" s="373" t="s">
        <v>175</v>
      </c>
      <c r="C7" s="389">
        <f>[1]Données!C29</f>
        <v>0.03</v>
      </c>
      <c r="D7" s="388">
        <f>D17*D18</f>
        <v>4216</v>
      </c>
      <c r="E7" s="388">
        <f t="shared" ref="E7:W7" si="0">D7*(1+$C$7)</f>
        <v>4342.4800000000005</v>
      </c>
      <c r="F7" s="388">
        <f t="shared" si="0"/>
        <v>4472.7544000000007</v>
      </c>
      <c r="G7" s="388">
        <f t="shared" si="0"/>
        <v>4606.9370320000007</v>
      </c>
      <c r="H7" s="388">
        <f t="shared" si="0"/>
        <v>4745.1451429600011</v>
      </c>
      <c r="I7" s="388">
        <f t="shared" si="0"/>
        <v>4887.4994972488012</v>
      </c>
      <c r="J7" s="388">
        <f t="shared" si="0"/>
        <v>5034.1244821662649</v>
      </c>
      <c r="K7" s="388">
        <f t="shared" si="0"/>
        <v>5185.1482166312526</v>
      </c>
      <c r="L7" s="388">
        <f t="shared" si="0"/>
        <v>5340.7026631301906</v>
      </c>
      <c r="M7" s="388">
        <f t="shared" si="0"/>
        <v>5500.9237430240964</v>
      </c>
      <c r="N7" s="388">
        <f t="shared" si="0"/>
        <v>5665.9514553148192</v>
      </c>
      <c r="O7" s="388">
        <f t="shared" si="0"/>
        <v>5835.929998974264</v>
      </c>
      <c r="P7" s="388">
        <f t="shared" si="0"/>
        <v>6011.0078989434924</v>
      </c>
      <c r="Q7" s="388">
        <f t="shared" si="0"/>
        <v>6191.3381359117975</v>
      </c>
      <c r="R7" s="388">
        <f t="shared" si="0"/>
        <v>6377.0782799891513</v>
      </c>
      <c r="S7" s="388">
        <f t="shared" si="0"/>
        <v>6568.3906283888264</v>
      </c>
      <c r="T7" s="388">
        <f t="shared" si="0"/>
        <v>6765.4423472404915</v>
      </c>
      <c r="U7" s="388">
        <f t="shared" si="0"/>
        <v>6968.405617657706</v>
      </c>
      <c r="V7" s="388">
        <f t="shared" si="0"/>
        <v>7177.4577861874377</v>
      </c>
      <c r="W7" s="387">
        <f t="shared" si="0"/>
        <v>7392.7815197730606</v>
      </c>
      <c r="X7" s="383" t="s">
        <v>181</v>
      </c>
      <c r="Y7" s="386">
        <f>Y5-Y6</f>
        <v>13000</v>
      </c>
    </row>
    <row r="8" spans="1:25" x14ac:dyDescent="0.3"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83" t="s">
        <v>173</v>
      </c>
      <c r="Y8" s="385">
        <f>Données!C29</f>
        <v>10</v>
      </c>
    </row>
    <row r="9" spans="1:25" x14ac:dyDescent="0.3">
      <c r="A9" s="374">
        <v>2</v>
      </c>
      <c r="B9" s="372" t="s">
        <v>172</v>
      </c>
      <c r="C9" s="372"/>
      <c r="D9" s="380">
        <f>Y7*(Y9/12)/(1-(1+Y9/12)^(-Y8*12))*12</f>
        <v>1380.2087385295304</v>
      </c>
      <c r="E9" s="380">
        <f t="shared" ref="E9:W9" si="1">IF(E5&lt;=$Y$8,$D$9,0)</f>
        <v>1380.2087385295304</v>
      </c>
      <c r="F9" s="380">
        <f t="shared" si="1"/>
        <v>1380.2087385295304</v>
      </c>
      <c r="G9" s="380">
        <f t="shared" si="1"/>
        <v>1380.2087385295304</v>
      </c>
      <c r="H9" s="380">
        <f t="shared" si="1"/>
        <v>1380.2087385295304</v>
      </c>
      <c r="I9" s="380">
        <f t="shared" si="1"/>
        <v>1380.2087385295304</v>
      </c>
      <c r="J9" s="380">
        <f t="shared" si="1"/>
        <v>1380.2087385295304</v>
      </c>
      <c r="K9" s="380">
        <f t="shared" si="1"/>
        <v>1380.2087385295304</v>
      </c>
      <c r="L9" s="380">
        <f t="shared" si="1"/>
        <v>1380.2087385295304</v>
      </c>
      <c r="M9" s="380">
        <f t="shared" si="1"/>
        <v>1380.2087385295304</v>
      </c>
      <c r="N9" s="380">
        <f t="shared" si="1"/>
        <v>0</v>
      </c>
      <c r="O9" s="380">
        <f t="shared" si="1"/>
        <v>0</v>
      </c>
      <c r="P9" s="380">
        <f t="shared" si="1"/>
        <v>0</v>
      </c>
      <c r="Q9" s="380">
        <f t="shared" si="1"/>
        <v>0</v>
      </c>
      <c r="R9" s="380">
        <f t="shared" si="1"/>
        <v>0</v>
      </c>
      <c r="S9" s="380">
        <f t="shared" si="1"/>
        <v>0</v>
      </c>
      <c r="T9" s="380">
        <f t="shared" si="1"/>
        <v>0</v>
      </c>
      <c r="U9" s="380">
        <f t="shared" si="1"/>
        <v>0</v>
      </c>
      <c r="V9" s="380">
        <f t="shared" si="1"/>
        <v>0</v>
      </c>
      <c r="W9" s="384">
        <f t="shared" si="1"/>
        <v>0</v>
      </c>
      <c r="X9" s="383" t="s">
        <v>171</v>
      </c>
      <c r="Y9" s="382">
        <f>Données!C28</f>
        <v>1.2E-2</v>
      </c>
    </row>
    <row r="10" spans="1:25" x14ac:dyDescent="0.3">
      <c r="A10" s="374">
        <v>3</v>
      </c>
      <c r="B10" s="372" t="s">
        <v>170</v>
      </c>
      <c r="C10" s="381">
        <f>1-D20</f>
        <v>0.40751481776582543</v>
      </c>
      <c r="D10" s="380">
        <f>D7*C10</f>
        <v>1718.0824717007201</v>
      </c>
      <c r="E10" s="380">
        <f t="shared" ref="E10:W10" si="2">D10*(1+$C7)</f>
        <v>1769.6249458517418</v>
      </c>
      <c r="F10" s="380">
        <f t="shared" si="2"/>
        <v>1822.7136942272941</v>
      </c>
      <c r="G10" s="380">
        <f t="shared" si="2"/>
        <v>1877.3951050541129</v>
      </c>
      <c r="H10" s="380">
        <f t="shared" si="2"/>
        <v>1933.7169582057363</v>
      </c>
      <c r="I10" s="380">
        <f t="shared" si="2"/>
        <v>1991.7284669519086</v>
      </c>
      <c r="J10" s="380">
        <f t="shared" si="2"/>
        <v>2051.4803209604661</v>
      </c>
      <c r="K10" s="380">
        <f t="shared" si="2"/>
        <v>2113.0247305892799</v>
      </c>
      <c r="L10" s="380">
        <f t="shared" si="2"/>
        <v>2176.4154725069584</v>
      </c>
      <c r="M10" s="380">
        <f t="shared" si="2"/>
        <v>2241.7079366821672</v>
      </c>
      <c r="N10" s="380">
        <f t="shared" si="2"/>
        <v>2308.9591747826321</v>
      </c>
      <c r="O10" s="380">
        <f t="shared" si="2"/>
        <v>2378.2279500261111</v>
      </c>
      <c r="P10" s="380">
        <f t="shared" si="2"/>
        <v>2449.5747885268943</v>
      </c>
      <c r="Q10" s="380">
        <f t="shared" si="2"/>
        <v>2523.0620321827014</v>
      </c>
      <c r="R10" s="380">
        <f t="shared" si="2"/>
        <v>2598.7538931481827</v>
      </c>
      <c r="S10" s="380">
        <f t="shared" si="2"/>
        <v>2676.7165099426284</v>
      </c>
      <c r="T10" s="380">
        <f t="shared" si="2"/>
        <v>2757.0180052409073</v>
      </c>
      <c r="U10" s="380">
        <f t="shared" si="2"/>
        <v>2839.7285453981344</v>
      </c>
      <c r="V10" s="380">
        <f t="shared" si="2"/>
        <v>2924.9204017600787</v>
      </c>
      <c r="W10" s="380">
        <f t="shared" si="2"/>
        <v>3012.6680138128813</v>
      </c>
    </row>
    <row r="11" spans="1:25" x14ac:dyDescent="0.3">
      <c r="A11" s="374">
        <v>4</v>
      </c>
      <c r="B11" s="372" t="s">
        <v>169</v>
      </c>
      <c r="C11" s="372"/>
      <c r="D11" s="380"/>
      <c r="E11" s="380"/>
      <c r="F11" s="380"/>
      <c r="G11" s="380"/>
      <c r="H11" s="380"/>
      <c r="I11" s="380">
        <v>200</v>
      </c>
      <c r="J11" s="380">
        <f t="shared" ref="J11:W11" si="3">I11*1.03</f>
        <v>206</v>
      </c>
      <c r="K11" s="380">
        <f t="shared" si="3"/>
        <v>212.18</v>
      </c>
      <c r="L11" s="380">
        <f t="shared" si="3"/>
        <v>218.5454</v>
      </c>
      <c r="M11" s="380">
        <f t="shared" si="3"/>
        <v>225.10176200000001</v>
      </c>
      <c r="N11" s="380">
        <f t="shared" si="3"/>
        <v>231.85481486</v>
      </c>
      <c r="O11" s="380">
        <f t="shared" si="3"/>
        <v>238.81045930580001</v>
      </c>
      <c r="P11" s="380">
        <f t="shared" si="3"/>
        <v>245.974773084974</v>
      </c>
      <c r="Q11" s="380">
        <f t="shared" si="3"/>
        <v>253.35401627752324</v>
      </c>
      <c r="R11" s="380">
        <f t="shared" si="3"/>
        <v>260.95463676584893</v>
      </c>
      <c r="S11" s="380">
        <f t="shared" si="3"/>
        <v>268.78327586882443</v>
      </c>
      <c r="T11" s="380">
        <f t="shared" si="3"/>
        <v>276.8467741448892</v>
      </c>
      <c r="U11" s="380">
        <f t="shared" si="3"/>
        <v>285.15217736923586</v>
      </c>
      <c r="V11" s="380">
        <f t="shared" si="3"/>
        <v>293.70674269031292</v>
      </c>
      <c r="W11" s="380">
        <f t="shared" si="3"/>
        <v>302.5179449710223</v>
      </c>
    </row>
    <row r="12" spans="1:25" x14ac:dyDescent="0.3">
      <c r="B12" s="241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</row>
    <row r="13" spans="1:25" x14ac:dyDescent="0.3">
      <c r="A13" s="374">
        <v>5</v>
      </c>
      <c r="B13" s="373" t="s">
        <v>168</v>
      </c>
      <c r="C13" s="373"/>
      <c r="D13" s="379">
        <f t="shared" ref="D13:W13" si="4">D9+D10+D11</f>
        <v>3098.2912102302507</v>
      </c>
      <c r="E13" s="379">
        <f t="shared" si="4"/>
        <v>3149.8336843812722</v>
      </c>
      <c r="F13" s="379">
        <f t="shared" si="4"/>
        <v>3202.9224327568245</v>
      </c>
      <c r="G13" s="379">
        <f t="shared" si="4"/>
        <v>3257.6038435836435</v>
      </c>
      <c r="H13" s="379">
        <f t="shared" si="4"/>
        <v>3313.9256967352667</v>
      </c>
      <c r="I13" s="379">
        <f t="shared" si="4"/>
        <v>3571.9372054814389</v>
      </c>
      <c r="J13" s="379">
        <f t="shared" si="4"/>
        <v>3637.6890594899965</v>
      </c>
      <c r="K13" s="379">
        <f t="shared" si="4"/>
        <v>3705.4134691188101</v>
      </c>
      <c r="L13" s="379">
        <f t="shared" si="4"/>
        <v>3775.1696110364887</v>
      </c>
      <c r="M13" s="379">
        <f t="shared" si="4"/>
        <v>3847.0184372116973</v>
      </c>
      <c r="N13" s="379">
        <f t="shared" si="4"/>
        <v>2540.8139896426319</v>
      </c>
      <c r="O13" s="379">
        <f t="shared" si="4"/>
        <v>2617.0384093319112</v>
      </c>
      <c r="P13" s="379">
        <f t="shared" si="4"/>
        <v>2695.5495616118683</v>
      </c>
      <c r="Q13" s="379">
        <f t="shared" si="4"/>
        <v>2776.4160484602248</v>
      </c>
      <c r="R13" s="379">
        <f t="shared" si="4"/>
        <v>2859.7085299140317</v>
      </c>
      <c r="S13" s="379">
        <f t="shared" si="4"/>
        <v>2945.499785811453</v>
      </c>
      <c r="T13" s="379">
        <f t="shared" si="4"/>
        <v>3033.8647793857963</v>
      </c>
      <c r="U13" s="379">
        <f t="shared" si="4"/>
        <v>3124.8807227673701</v>
      </c>
      <c r="V13" s="379">
        <f t="shared" si="4"/>
        <v>3218.6271444503918</v>
      </c>
      <c r="W13" s="379">
        <f t="shared" si="4"/>
        <v>3315.1859587839035</v>
      </c>
    </row>
    <row r="14" spans="1:25" x14ac:dyDescent="0.3"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</row>
    <row r="15" spans="1:25" s="375" customFormat="1" x14ac:dyDescent="0.3">
      <c r="A15" s="377">
        <v>6</v>
      </c>
      <c r="B15" s="376" t="s">
        <v>167</v>
      </c>
      <c r="C15" s="376"/>
      <c r="D15" s="371">
        <f t="shared" ref="D15:W15" si="5">D7-D13</f>
        <v>1117.7087897697493</v>
      </c>
      <c r="E15" s="371">
        <f t="shared" si="5"/>
        <v>1192.6463156187283</v>
      </c>
      <c r="F15" s="371">
        <f t="shared" si="5"/>
        <v>1269.8319672431762</v>
      </c>
      <c r="G15" s="371">
        <f t="shared" si="5"/>
        <v>1349.3331884163572</v>
      </c>
      <c r="H15" s="371">
        <f t="shared" si="5"/>
        <v>1431.2194462247344</v>
      </c>
      <c r="I15" s="371">
        <f t="shared" si="5"/>
        <v>1315.5622917673622</v>
      </c>
      <c r="J15" s="371">
        <f t="shared" si="5"/>
        <v>1396.4354226762684</v>
      </c>
      <c r="K15" s="371">
        <f t="shared" si="5"/>
        <v>1479.7347475124425</v>
      </c>
      <c r="L15" s="371">
        <f t="shared" si="5"/>
        <v>1565.5330520937018</v>
      </c>
      <c r="M15" s="371">
        <f t="shared" si="5"/>
        <v>1653.9053058123991</v>
      </c>
      <c r="N15" s="371">
        <f t="shared" si="5"/>
        <v>3125.1374656721873</v>
      </c>
      <c r="O15" s="371">
        <f t="shared" si="5"/>
        <v>3218.8915896423528</v>
      </c>
      <c r="P15" s="371">
        <f t="shared" si="5"/>
        <v>3315.4583373316241</v>
      </c>
      <c r="Q15" s="371">
        <f t="shared" si="5"/>
        <v>3414.9220874515727</v>
      </c>
      <c r="R15" s="371">
        <f t="shared" si="5"/>
        <v>3517.3697500751196</v>
      </c>
      <c r="S15" s="371">
        <f t="shared" si="5"/>
        <v>3622.8908425773734</v>
      </c>
      <c r="T15" s="371">
        <f t="shared" si="5"/>
        <v>3731.5775678546952</v>
      </c>
      <c r="U15" s="371">
        <f t="shared" si="5"/>
        <v>3843.5248948903359</v>
      </c>
      <c r="V15" s="371">
        <f t="shared" si="5"/>
        <v>3958.8306417370459</v>
      </c>
      <c r="W15" s="371">
        <f t="shared" si="5"/>
        <v>4077.5955609891571</v>
      </c>
    </row>
    <row r="16" spans="1:25" x14ac:dyDescent="0.3">
      <c r="A16" s="374">
        <v>7</v>
      </c>
      <c r="B16" s="373" t="s">
        <v>166</v>
      </c>
      <c r="C16" s="372"/>
      <c r="D16" s="371">
        <f t="shared" ref="D16:W16" si="6">D15/12</f>
        <v>93.142399147479111</v>
      </c>
      <c r="E16" s="371">
        <f t="shared" si="6"/>
        <v>99.387192968227353</v>
      </c>
      <c r="F16" s="371">
        <f t="shared" si="6"/>
        <v>105.81933060359802</v>
      </c>
      <c r="G16" s="371">
        <f t="shared" si="6"/>
        <v>112.44443236802977</v>
      </c>
      <c r="H16" s="371">
        <f t="shared" si="6"/>
        <v>119.26828718539453</v>
      </c>
      <c r="I16" s="371">
        <f t="shared" si="6"/>
        <v>109.63019098061352</v>
      </c>
      <c r="J16" s="371">
        <f t="shared" si="6"/>
        <v>116.3696185563557</v>
      </c>
      <c r="K16" s="371">
        <f t="shared" si="6"/>
        <v>123.31122895937021</v>
      </c>
      <c r="L16" s="371">
        <f t="shared" si="6"/>
        <v>130.46108767447515</v>
      </c>
      <c r="M16" s="371">
        <f t="shared" si="6"/>
        <v>137.82544215103326</v>
      </c>
      <c r="N16" s="368">
        <f t="shared" si="6"/>
        <v>260.42812213934894</v>
      </c>
      <c r="O16" s="368">
        <f t="shared" si="6"/>
        <v>268.24096580352938</v>
      </c>
      <c r="P16" s="368">
        <f t="shared" si="6"/>
        <v>276.28819477763534</v>
      </c>
      <c r="Q16" s="368">
        <f t="shared" si="6"/>
        <v>284.57684062096439</v>
      </c>
      <c r="R16" s="368">
        <f t="shared" si="6"/>
        <v>293.11414583959328</v>
      </c>
      <c r="S16" s="370">
        <f t="shared" si="6"/>
        <v>301.90757021478112</v>
      </c>
      <c r="T16" s="368">
        <f t="shared" si="6"/>
        <v>310.96479732122458</v>
      </c>
      <c r="U16" s="369">
        <f t="shared" si="6"/>
        <v>320.29374124086132</v>
      </c>
      <c r="V16" s="368">
        <f t="shared" si="6"/>
        <v>329.90255347808716</v>
      </c>
      <c r="W16" s="368">
        <f t="shared" si="6"/>
        <v>339.79963008242976</v>
      </c>
    </row>
    <row r="17" spans="2:21" x14ac:dyDescent="0.3">
      <c r="B17" s="176" t="s">
        <v>165</v>
      </c>
      <c r="D17" s="367">
        <f>'Calcul-Tech'!P29</f>
        <v>30114.285714285714</v>
      </c>
      <c r="E17" s="363" t="s">
        <v>73</v>
      </c>
      <c r="U17" s="176"/>
    </row>
    <row r="18" spans="2:21" x14ac:dyDescent="0.3">
      <c r="B18" s="176" t="s">
        <v>164</v>
      </c>
      <c r="D18" s="393">
        <f>Données!C33</f>
        <v>0.14000000000000001</v>
      </c>
      <c r="E18" s="363" t="s">
        <v>162</v>
      </c>
      <c r="U18" s="176"/>
    </row>
    <row r="19" spans="2:21" x14ac:dyDescent="0.3">
      <c r="B19" s="176" t="s">
        <v>163</v>
      </c>
      <c r="D19" s="366">
        <f>Résumé_BE!C15</f>
        <v>17842.26805928057</v>
      </c>
      <c r="E19" s="363" t="s">
        <v>162</v>
      </c>
      <c r="U19" s="176"/>
    </row>
    <row r="20" spans="2:21" x14ac:dyDescent="0.3">
      <c r="B20" s="176" t="s">
        <v>161</v>
      </c>
      <c r="D20" s="365">
        <f>Résumé_BE!C14</f>
        <v>0.59248518223417457</v>
      </c>
      <c r="U20" s="176"/>
    </row>
    <row r="21" spans="2:21" x14ac:dyDescent="0.3">
      <c r="B21" s="176" t="s">
        <v>160</v>
      </c>
      <c r="D21" s="364">
        <f>Données!D31</f>
        <v>0.03</v>
      </c>
      <c r="E21" s="363" t="s">
        <v>159</v>
      </c>
      <c r="U21" s="176"/>
    </row>
    <row r="22" spans="2:21" x14ac:dyDescent="0.3">
      <c r="U22" s="176"/>
    </row>
    <row r="23" spans="2:21" x14ac:dyDescent="0.3">
      <c r="U23" s="176"/>
    </row>
    <row r="24" spans="2:21" x14ac:dyDescent="0.3">
      <c r="U24" s="176"/>
    </row>
    <row r="25" spans="2:21" x14ac:dyDescent="0.3">
      <c r="U25" s="176"/>
    </row>
    <row r="26" spans="2:21" x14ac:dyDescent="0.3">
      <c r="U26" s="176"/>
    </row>
    <row r="27" spans="2:21" x14ac:dyDescent="0.3">
      <c r="U27" s="176"/>
    </row>
    <row r="28" spans="2:21" x14ac:dyDescent="0.3">
      <c r="U28" s="176"/>
    </row>
    <row r="29" spans="2:21" x14ac:dyDescent="0.3">
      <c r="U29" s="176"/>
    </row>
    <row r="30" spans="2:21" x14ac:dyDescent="0.3">
      <c r="U30" s="176"/>
    </row>
    <row r="31" spans="2:21" x14ac:dyDescent="0.3">
      <c r="U31" s="176"/>
    </row>
    <row r="32" spans="2:21" x14ac:dyDescent="0.3">
      <c r="U32" s="176"/>
    </row>
    <row r="33" spans="21:21" x14ac:dyDescent="0.3">
      <c r="U33" s="176"/>
    </row>
    <row r="34" spans="21:21" x14ac:dyDescent="0.3">
      <c r="U34" s="176"/>
    </row>
    <row r="35" spans="21:21" x14ac:dyDescent="0.3">
      <c r="U35" s="176"/>
    </row>
  </sheetData>
  <sheetProtection selectLockedCells="1" selectUnlockedCells="1"/>
  <mergeCells count="1">
    <mergeCell ref="B2:S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</vt:i4>
      </vt:variant>
    </vt:vector>
  </HeadingPairs>
  <TitlesOfParts>
    <vt:vector size="11" baseType="lpstr">
      <vt:lpstr>Données</vt:lpstr>
      <vt:lpstr>Résultats-Tech</vt:lpstr>
      <vt:lpstr>Resultats-ROIC</vt:lpstr>
      <vt:lpstr>Résultats-auto-Financement</vt:lpstr>
      <vt:lpstr>Résumé_BE</vt:lpstr>
      <vt:lpstr>Calcul-Tech</vt:lpstr>
      <vt:lpstr>calcul-ROIC</vt:lpstr>
      <vt:lpstr>Calcul -financement</vt:lpstr>
      <vt:lpstr>'calcul-ROIC'!Zone_d_impression</vt:lpstr>
      <vt:lpstr>'Résultats-auto-Financement'!Zone_d_impression</vt:lpstr>
      <vt:lpstr>'Resultats-ROIC'!Zone_d_impression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Fengtech</dc:creator>
  <cp:lastModifiedBy>Axular AROSTEGUI</cp:lastModifiedBy>
  <cp:lastPrinted>2019-02-21T08:59:57Z</cp:lastPrinted>
  <dcterms:created xsi:type="dcterms:W3CDTF">2017-01-16T11:15:03Z</dcterms:created>
  <dcterms:modified xsi:type="dcterms:W3CDTF">2021-12-17T14:36:00Z</dcterms:modified>
</cp:coreProperties>
</file>