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xular.arostegui\Documents\ICaRE4Farms\"/>
    </mc:Choice>
  </mc:AlternateContent>
  <bookViews>
    <workbookView xWindow="0" yWindow="0" windowWidth="23040" windowHeight="9396" tabRatio="991" activeTab="6"/>
  </bookViews>
  <sheets>
    <sheet name="Input-data" sheetId="4" r:id="rId1"/>
    <sheet name="Results-Tech" sheetId="5" r:id="rId2"/>
    <sheet name="Calcul-Tech" sheetId="1" state="hidden" r:id="rId3"/>
    <sheet name="Results-auto-Financement" sheetId="7" r:id="rId4"/>
    <sheet name="Calcul -financement" sheetId="8" state="hidden" r:id="rId5"/>
    <sheet name="Results-ROIC" sheetId="10" r:id="rId6"/>
    <sheet name="Summary_Tech-Design" sheetId="3" r:id="rId7"/>
    <sheet name="calcul-ROIC" sheetId="11" state="hidden" r:id="rId8"/>
  </sheets>
  <externalReferences>
    <externalReference r:id="rId9"/>
  </externalReferences>
  <definedNames>
    <definedName name="_xlnm.Print_Area" localSheetId="7">'calcul-ROIC'!$A$1:$G$29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4" l="1"/>
  <c r="J6" i="4" s="1"/>
  <c r="G15" i="11" l="1"/>
  <c r="N25" i="7" l="1"/>
  <c r="N26" i="7"/>
  <c r="N28" i="7"/>
  <c r="N24" i="7"/>
  <c r="E5" i="5"/>
  <c r="Y6" i="8" l="1"/>
  <c r="Y5" i="8"/>
  <c r="S22" i="7"/>
  <c r="P22" i="7"/>
  <c r="O13" i="10"/>
  <c r="N16" i="10"/>
  <c r="L16" i="10"/>
  <c r="M16" i="10"/>
  <c r="M14" i="10" l="1"/>
  <c r="M13" i="10"/>
  <c r="E10" i="11"/>
  <c r="N7" i="10"/>
  <c r="K7" i="10"/>
  <c r="G13" i="11"/>
  <c r="H26" i="10" s="1"/>
  <c r="F13" i="11"/>
  <c r="G26" i="10" s="1"/>
  <c r="E13" i="11"/>
  <c r="F26" i="10" s="1"/>
  <c r="E12" i="11"/>
  <c r="E9" i="11"/>
  <c r="D22" i="8"/>
  <c r="D19" i="8"/>
  <c r="B25" i="4"/>
  <c r="I3" i="11"/>
  <c r="K3" i="11" s="1"/>
  <c r="E26" i="10"/>
  <c r="O24" i="7"/>
  <c r="C7" i="8"/>
  <c r="U21" i="7" s="1"/>
  <c r="Y8" i="8"/>
  <c r="Y9" i="8"/>
  <c r="O28" i="7" s="1"/>
  <c r="J11" i="8"/>
  <c r="K11" i="8" s="1"/>
  <c r="D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D11" i="7"/>
  <c r="E11" i="7"/>
  <c r="F11" i="7"/>
  <c r="G11" i="7"/>
  <c r="H11" i="7"/>
  <c r="I11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C16" i="7"/>
  <c r="O25" i="7"/>
  <c r="M12" i="10" l="1"/>
  <c r="T9" i="8"/>
  <c r="T9" i="7" s="1"/>
  <c r="U9" i="8"/>
  <c r="U9" i="7" s="1"/>
  <c r="W9" i="8"/>
  <c r="W9" i="7" s="1"/>
  <c r="S9" i="8"/>
  <c r="S9" i="7" s="1"/>
  <c r="O27" i="7"/>
  <c r="V9" i="8"/>
  <c r="V9" i="7" s="1"/>
  <c r="Y7" i="8"/>
  <c r="D9" i="8" s="1"/>
  <c r="K9" i="8" s="1"/>
  <c r="P3" i="11"/>
  <c r="E8" i="11"/>
  <c r="M3" i="11"/>
  <c r="R3" i="11" s="1"/>
  <c r="Q3" i="11"/>
  <c r="L11" i="8"/>
  <c r="K11" i="7"/>
  <c r="J11" i="7"/>
  <c r="O9" i="8" l="1"/>
  <c r="O9" i="7" s="1"/>
  <c r="R9" i="8"/>
  <c r="R9" i="7" s="1"/>
  <c r="Q9" i="8"/>
  <c r="Q9" i="7" s="1"/>
  <c r="P9" i="8"/>
  <c r="P9" i="7" s="1"/>
  <c r="N9" i="8"/>
  <c r="N9" i="7" s="1"/>
  <c r="O26" i="7"/>
  <c r="L9" i="8"/>
  <c r="L9" i="7" s="1"/>
  <c r="M9" i="8"/>
  <c r="M9" i="7" s="1"/>
  <c r="D9" i="7"/>
  <c r="E9" i="8"/>
  <c r="H9" i="8"/>
  <c r="H9" i="7" s="1"/>
  <c r="I9" i="8"/>
  <c r="I9" i="7" s="1"/>
  <c r="F9" i="8"/>
  <c r="G9" i="8"/>
  <c r="G9" i="7" s="1"/>
  <c r="J9" i="8"/>
  <c r="J9" i="7" s="1"/>
  <c r="T3" i="11"/>
  <c r="V3" i="11"/>
  <c r="U3" i="11"/>
  <c r="K9" i="7"/>
  <c r="L11" i="7"/>
  <c r="M11" i="8"/>
  <c r="E9" i="7" l="1"/>
  <c r="F9" i="7"/>
  <c r="M11" i="7"/>
  <c r="N11" i="8"/>
  <c r="O11" i="8" l="1"/>
  <c r="N11" i="7"/>
  <c r="P11" i="8" l="1"/>
  <c r="O11" i="7"/>
  <c r="Q11" i="8" l="1"/>
  <c r="P11" i="7"/>
  <c r="Q11" i="7" l="1"/>
  <c r="R11" i="8"/>
  <c r="S11" i="8" l="1"/>
  <c r="R11" i="7"/>
  <c r="T11" i="8" l="1"/>
  <c r="S11" i="7"/>
  <c r="T11" i="7" l="1"/>
  <c r="U11" i="8"/>
  <c r="U11" i="7" l="1"/>
  <c r="V11" i="8"/>
  <c r="W11" i="8" l="1"/>
  <c r="W11" i="7" s="1"/>
  <c r="V11" i="7"/>
  <c r="H3" i="3" l="1"/>
  <c r="N13" i="4" l="1"/>
  <c r="G6" i="5" l="1"/>
  <c r="G5" i="5"/>
  <c r="E3" i="5"/>
  <c r="E2" i="5"/>
  <c r="D38" i="1"/>
  <c r="D2" i="1" l="1"/>
  <c r="H4" i="3"/>
  <c r="D37" i="1"/>
  <c r="E20" i="1"/>
  <c r="F20" i="1"/>
  <c r="G20" i="1"/>
  <c r="H20" i="1"/>
  <c r="I20" i="1"/>
  <c r="J20" i="1"/>
  <c r="K20" i="1"/>
  <c r="L20" i="1"/>
  <c r="M20" i="1"/>
  <c r="N20" i="1"/>
  <c r="O20" i="1"/>
  <c r="D20" i="1"/>
  <c r="E18" i="1"/>
  <c r="F18" i="1"/>
  <c r="G18" i="1"/>
  <c r="H18" i="1"/>
  <c r="I18" i="1"/>
  <c r="J18" i="1"/>
  <c r="K18" i="1"/>
  <c r="L18" i="1"/>
  <c r="M18" i="1"/>
  <c r="N18" i="1"/>
  <c r="O18" i="1"/>
  <c r="D18" i="1"/>
  <c r="E9" i="1"/>
  <c r="F9" i="1"/>
  <c r="G9" i="1"/>
  <c r="H9" i="1"/>
  <c r="I9" i="1"/>
  <c r="J9" i="1"/>
  <c r="K9" i="1"/>
  <c r="L9" i="1"/>
  <c r="M9" i="1"/>
  <c r="N9" i="1"/>
  <c r="O9" i="1"/>
  <c r="E10" i="1"/>
  <c r="F10" i="1"/>
  <c r="G10" i="1"/>
  <c r="H10" i="1"/>
  <c r="I10" i="1"/>
  <c r="J10" i="1"/>
  <c r="K10" i="1"/>
  <c r="L10" i="1"/>
  <c r="M10" i="1"/>
  <c r="N10" i="1"/>
  <c r="O10" i="1"/>
  <c r="E11" i="1"/>
  <c r="F11" i="1"/>
  <c r="G11" i="1"/>
  <c r="H11" i="1"/>
  <c r="I11" i="1"/>
  <c r="J11" i="1"/>
  <c r="K11" i="1"/>
  <c r="L11" i="1"/>
  <c r="M11" i="1"/>
  <c r="N11" i="1"/>
  <c r="O11" i="1"/>
  <c r="D11" i="1"/>
  <c r="D10" i="1"/>
  <c r="D9" i="1"/>
  <c r="D4" i="1"/>
  <c r="E2" i="1"/>
  <c r="F2" i="1"/>
  <c r="G2" i="1"/>
  <c r="H2" i="1"/>
  <c r="I2" i="1"/>
  <c r="K2" i="1"/>
  <c r="N2" i="1"/>
  <c r="N11" i="4"/>
  <c r="N10" i="4"/>
  <c r="M2" i="1" l="1"/>
  <c r="D5" i="1"/>
  <c r="D13" i="1" l="1"/>
  <c r="D12" i="1"/>
  <c r="J12" i="1"/>
  <c r="C3" i="3"/>
  <c r="C2" i="3"/>
  <c r="E21" i="1" l="1"/>
  <c r="F21" i="1"/>
  <c r="G21" i="1"/>
  <c r="H21" i="1"/>
  <c r="I21" i="1"/>
  <c r="J21" i="1"/>
  <c r="K21" i="1"/>
  <c r="L21" i="1"/>
  <c r="M21" i="1"/>
  <c r="N21" i="1"/>
  <c r="O21" i="1"/>
  <c r="D21" i="1"/>
  <c r="P21" i="1" l="1"/>
  <c r="P20" i="1"/>
  <c r="D8" i="1"/>
  <c r="E8" i="1"/>
  <c r="F8" i="1"/>
  <c r="G8" i="1"/>
  <c r="H8" i="1"/>
  <c r="I8" i="1"/>
  <c r="J8" i="1"/>
  <c r="K8" i="1"/>
  <c r="L8" i="1"/>
  <c r="M8" i="1"/>
  <c r="N8" i="1"/>
  <c r="O8" i="1"/>
  <c r="C7" i="3" l="1"/>
  <c r="D19" i="1"/>
  <c r="D22" i="1" s="1"/>
  <c r="E19" i="1"/>
  <c r="E22" i="1" s="1"/>
  <c r="F19" i="1"/>
  <c r="F22" i="1" s="1"/>
  <c r="G19" i="1"/>
  <c r="G22" i="1" s="1"/>
  <c r="H19" i="1"/>
  <c r="H22" i="1" s="1"/>
  <c r="I19" i="1"/>
  <c r="I22" i="1" s="1"/>
  <c r="J19" i="1"/>
  <c r="J22" i="1" s="1"/>
  <c r="K19" i="1"/>
  <c r="K22" i="1" s="1"/>
  <c r="L19" i="1"/>
  <c r="L22" i="1" s="1"/>
  <c r="M19" i="1"/>
  <c r="M22" i="1" s="1"/>
  <c r="N19" i="1"/>
  <c r="N22" i="1" s="1"/>
  <c r="O19" i="1"/>
  <c r="O22" i="1" s="1"/>
  <c r="D27" i="1"/>
  <c r="E27" i="1"/>
  <c r="F27" i="1"/>
  <c r="G27" i="1"/>
  <c r="H27" i="1"/>
  <c r="I27" i="1"/>
  <c r="J27" i="1"/>
  <c r="K27" i="1"/>
  <c r="L27" i="1"/>
  <c r="M27" i="1"/>
  <c r="N27" i="1"/>
  <c r="O27" i="1"/>
  <c r="P8" i="1"/>
  <c r="P9" i="1"/>
  <c r="P10" i="1"/>
  <c r="K12" i="1" l="1"/>
  <c r="C4" i="3"/>
  <c r="P22" i="1"/>
  <c r="E38" i="1" s="1"/>
  <c r="P27" i="1"/>
  <c r="N12" i="1"/>
  <c r="M12" i="1"/>
  <c r="L12" i="1"/>
  <c r="F13" i="1"/>
  <c r="I13" i="1"/>
  <c r="I12" i="1"/>
  <c r="H12" i="1"/>
  <c r="O12" i="1"/>
  <c r="E12" i="1"/>
  <c r="G12" i="1"/>
  <c r="F12" i="1"/>
  <c r="O13" i="1"/>
  <c r="E13" i="1"/>
  <c r="N13" i="1"/>
  <c r="M13" i="1"/>
  <c r="L13" i="1"/>
  <c r="K13" i="1"/>
  <c r="J13" i="1"/>
  <c r="H13" i="1"/>
  <c r="G13" i="1"/>
  <c r="E23" i="1" l="1"/>
  <c r="I23" i="1"/>
  <c r="M23" i="1"/>
  <c r="N23" i="1"/>
  <c r="L23" i="1"/>
  <c r="F23" i="1"/>
  <c r="J23" i="1"/>
  <c r="D23" i="1"/>
  <c r="D29" i="1" s="1"/>
  <c r="G23" i="1"/>
  <c r="K23" i="1"/>
  <c r="O23" i="1"/>
  <c r="H23" i="1"/>
  <c r="C9" i="3"/>
  <c r="K14" i="1"/>
  <c r="K16" i="1" s="1"/>
  <c r="K17" i="1" s="1"/>
  <c r="N14" i="1"/>
  <c r="N16" i="1" s="1"/>
  <c r="N17" i="1" s="1"/>
  <c r="M14" i="1"/>
  <c r="M16" i="1" s="1"/>
  <c r="M17" i="1" s="1"/>
  <c r="D14" i="1"/>
  <c r="D16" i="1" s="1"/>
  <c r="I14" i="1"/>
  <c r="I16" i="1" s="1"/>
  <c r="I17" i="1" s="1"/>
  <c r="L14" i="1"/>
  <c r="L16" i="1" s="1"/>
  <c r="L17" i="1" s="1"/>
  <c r="H14" i="1"/>
  <c r="H16" i="1" s="1"/>
  <c r="H17" i="1" s="1"/>
  <c r="O14" i="1"/>
  <c r="O16" i="1" s="1"/>
  <c r="O17" i="1" s="1"/>
  <c r="J14" i="1"/>
  <c r="J16" i="1" s="1"/>
  <c r="J17" i="1" s="1"/>
  <c r="F14" i="1"/>
  <c r="F16" i="1" s="1"/>
  <c r="F17" i="1" s="1"/>
  <c r="P12" i="1"/>
  <c r="G14" i="1"/>
  <c r="G16" i="1" s="1"/>
  <c r="G17" i="1" s="1"/>
  <c r="E14" i="1"/>
  <c r="P13" i="1"/>
  <c r="G9" i="3" l="1"/>
  <c r="D17" i="1"/>
  <c r="E16" i="1"/>
  <c r="E17" i="1" s="1"/>
  <c r="P14" i="1"/>
  <c r="E29" i="1" l="1"/>
  <c r="E24" i="1"/>
  <c r="O29" i="1"/>
  <c r="O24" i="1"/>
  <c r="M29" i="1"/>
  <c r="M24" i="1"/>
  <c r="L29" i="1"/>
  <c r="L24" i="1"/>
  <c r="H29" i="1"/>
  <c r="H24" i="1"/>
  <c r="P23" i="1"/>
  <c r="D24" i="1"/>
  <c r="D25" i="1" s="1"/>
  <c r="G29" i="1"/>
  <c r="G24" i="1"/>
  <c r="K24" i="1"/>
  <c r="K29" i="1"/>
  <c r="J24" i="1"/>
  <c r="J29" i="1"/>
  <c r="I29" i="1"/>
  <c r="I24" i="1"/>
  <c r="N29" i="1"/>
  <c r="N24" i="1"/>
  <c r="F29" i="1"/>
  <c r="F24" i="1"/>
  <c r="P16" i="1"/>
  <c r="F30" i="1" l="1"/>
  <c r="L28" i="1"/>
  <c r="L25" i="1"/>
  <c r="K30" i="1"/>
  <c r="K28" i="1"/>
  <c r="K25" i="1"/>
  <c r="N28" i="1"/>
  <c r="N25" i="1"/>
  <c r="G28" i="1"/>
  <c r="G25" i="1"/>
  <c r="L30" i="1"/>
  <c r="E30" i="1"/>
  <c r="N30" i="1"/>
  <c r="G30" i="1"/>
  <c r="M28" i="1"/>
  <c r="M25" i="1"/>
  <c r="H30" i="1"/>
  <c r="M30" i="1"/>
  <c r="I31" i="1"/>
  <c r="I32" i="1" s="1"/>
  <c r="I30" i="1"/>
  <c r="O28" i="1"/>
  <c r="O25" i="1"/>
  <c r="O31" i="1"/>
  <c r="O32" i="1" s="1"/>
  <c r="O30" i="1"/>
  <c r="F28" i="1"/>
  <c r="F25" i="1"/>
  <c r="I28" i="1"/>
  <c r="I25" i="1"/>
  <c r="J31" i="1"/>
  <c r="J32" i="1" s="1"/>
  <c r="J30" i="1"/>
  <c r="D30" i="1"/>
  <c r="D31" i="1"/>
  <c r="E31" i="1"/>
  <c r="E32" i="1" s="1"/>
  <c r="J28" i="1"/>
  <c r="J25" i="1"/>
  <c r="H28" i="1"/>
  <c r="H25" i="1"/>
  <c r="E28" i="1"/>
  <c r="E25" i="1"/>
  <c r="F31" i="1"/>
  <c r="F32" i="1" s="1"/>
  <c r="L31" i="1"/>
  <c r="L32" i="1" s="1"/>
  <c r="N31" i="1"/>
  <c r="N32" i="1" s="1"/>
  <c r="G31" i="1"/>
  <c r="G32" i="1" s="1"/>
  <c r="P29" i="1"/>
  <c r="K31" i="1"/>
  <c r="K32" i="1" s="1"/>
  <c r="D28" i="1"/>
  <c r="P24" i="1"/>
  <c r="H31" i="1"/>
  <c r="H32" i="1" s="1"/>
  <c r="M31" i="1"/>
  <c r="M32" i="1" s="1"/>
  <c r="D32" i="1" l="1"/>
  <c r="D33" i="1" s="1"/>
  <c r="F33" i="1"/>
  <c r="L33" i="1"/>
  <c r="H33" i="1"/>
  <c r="G33" i="1"/>
  <c r="M33" i="1"/>
  <c r="K33" i="1"/>
  <c r="N33" i="1"/>
  <c r="C8" i="3"/>
  <c r="P28" i="1"/>
  <c r="D18" i="8" s="1"/>
  <c r="D7" i="8" s="1"/>
  <c r="E7" i="8" l="1"/>
  <c r="D7" i="7"/>
  <c r="C5" i="5"/>
  <c r="F16" i="11"/>
  <c r="E16" i="11" s="1"/>
  <c r="I33" i="1"/>
  <c r="J33" i="1"/>
  <c r="O33" i="1"/>
  <c r="E33" i="1"/>
  <c r="G8" i="3"/>
  <c r="O35" i="1"/>
  <c r="J35" i="1"/>
  <c r="E35" i="1"/>
  <c r="I35" i="1"/>
  <c r="G35" i="1"/>
  <c r="N35" i="1"/>
  <c r="F35" i="1"/>
  <c r="H35" i="1"/>
  <c r="L35" i="1"/>
  <c r="K35" i="1"/>
  <c r="M35" i="1"/>
  <c r="E7" i="7" l="1"/>
  <c r="F7" i="8"/>
  <c r="F5" i="5"/>
  <c r="D35" i="1"/>
  <c r="P33" i="1"/>
  <c r="C11" i="3" s="1"/>
  <c r="P32" i="1"/>
  <c r="P35" i="1" s="1"/>
  <c r="G7" i="8" l="1"/>
  <c r="F7" i="7"/>
  <c r="C14" i="3"/>
  <c r="D21" i="8" s="1"/>
  <c r="C10" i="8" s="1"/>
  <c r="D10" i="8" s="1"/>
  <c r="C10" i="3"/>
  <c r="H7" i="8" l="1"/>
  <c r="G7" i="7"/>
  <c r="D10" i="7"/>
  <c r="E10" i="8"/>
  <c r="D13" i="8"/>
  <c r="C7" i="5"/>
  <c r="G13" i="3"/>
  <c r="G12" i="3"/>
  <c r="G11" i="3"/>
  <c r="G10" i="3"/>
  <c r="I7" i="8" l="1"/>
  <c r="H7" i="7"/>
  <c r="D13" i="7"/>
  <c r="D15" i="8"/>
  <c r="E10" i="7"/>
  <c r="F10" i="8"/>
  <c r="E13" i="8"/>
  <c r="C15" i="3"/>
  <c r="G16" i="3" s="1"/>
  <c r="J7" i="8" l="1"/>
  <c r="I7" i="7"/>
  <c r="F15" i="11"/>
  <c r="E15" i="11" s="1"/>
  <c r="G25" i="11" s="1"/>
  <c r="M10" i="10" s="1"/>
  <c r="D20" i="8"/>
  <c r="D15" i="7"/>
  <c r="U25" i="7" s="1"/>
  <c r="D16" i="8"/>
  <c r="D16" i="7" s="1"/>
  <c r="G10" i="8"/>
  <c r="F10" i="7"/>
  <c r="F13" i="8"/>
  <c r="E13" i="7"/>
  <c r="E15" i="8"/>
  <c r="C6" i="5"/>
  <c r="C16" i="3"/>
  <c r="G14" i="3"/>
  <c r="G15" i="3"/>
  <c r="J7" i="7" l="1"/>
  <c r="K7" i="8"/>
  <c r="L4" i="11"/>
  <c r="M4" i="11" s="1"/>
  <c r="R4" i="11" s="1"/>
  <c r="G24" i="11"/>
  <c r="M9" i="10" s="1"/>
  <c r="J4" i="11"/>
  <c r="J5" i="11" s="1"/>
  <c r="H4" i="11"/>
  <c r="H5" i="11" s="1"/>
  <c r="E17" i="11"/>
  <c r="M11" i="10" s="1"/>
  <c r="F15" i="8"/>
  <c r="F13" i="7"/>
  <c r="E16" i="8"/>
  <c r="E16" i="7" s="1"/>
  <c r="E15" i="7"/>
  <c r="G13" i="8"/>
  <c r="G10" i="7"/>
  <c r="H10" i="8"/>
  <c r="C8" i="5"/>
  <c r="F6" i="5"/>
  <c r="I4" i="11" l="1"/>
  <c r="P4" i="11" s="1"/>
  <c r="K4" i="11"/>
  <c r="Q4" i="11" s="1"/>
  <c r="T4" i="11"/>
  <c r="U4" i="11"/>
  <c r="L5" i="11"/>
  <c r="M5" i="11" s="1"/>
  <c r="R5" i="11" s="1"/>
  <c r="V4" i="11"/>
  <c r="L7" i="8"/>
  <c r="K7" i="7"/>
  <c r="H13" i="8"/>
  <c r="H10" i="7"/>
  <c r="I10" i="8"/>
  <c r="K5" i="11"/>
  <c r="Q5" i="11" s="1"/>
  <c r="U5" i="11"/>
  <c r="J6" i="11"/>
  <c r="K6" i="11" s="1"/>
  <c r="Q6" i="11" s="1"/>
  <c r="I5" i="11"/>
  <c r="P5" i="11" s="1"/>
  <c r="H6" i="11"/>
  <c r="T5" i="11"/>
  <c r="G15" i="8"/>
  <c r="G13" i="7"/>
  <c r="F16" i="8"/>
  <c r="F16" i="7" s="1"/>
  <c r="F15" i="7"/>
  <c r="L6" i="11" l="1"/>
  <c r="L7" i="11" s="1"/>
  <c r="V5" i="11"/>
  <c r="M7" i="8"/>
  <c r="L7" i="7"/>
  <c r="I13" i="8"/>
  <c r="J10" i="8"/>
  <c r="I10" i="7"/>
  <c r="U6" i="11"/>
  <c r="J7" i="11"/>
  <c r="H15" i="8"/>
  <c r="H13" i="7"/>
  <c r="G16" i="8"/>
  <c r="G16" i="7" s="1"/>
  <c r="G15" i="7"/>
  <c r="T6" i="11"/>
  <c r="H7" i="11"/>
  <c r="I6" i="11"/>
  <c r="P6" i="11" s="1"/>
  <c r="V6" i="11" l="1"/>
  <c r="M6" i="11"/>
  <c r="R6" i="11" s="1"/>
  <c r="M7" i="7"/>
  <c r="N7" i="8"/>
  <c r="I7" i="11"/>
  <c r="P7" i="11" s="1"/>
  <c r="H8" i="11"/>
  <c r="T7" i="11"/>
  <c r="K7" i="11"/>
  <c r="Q7" i="11" s="1"/>
  <c r="U7" i="11"/>
  <c r="J8" i="11"/>
  <c r="H16" i="8"/>
  <c r="H16" i="7" s="1"/>
  <c r="H15" i="7"/>
  <c r="U26" i="7" s="1"/>
  <c r="M7" i="11"/>
  <c r="R7" i="11" s="1"/>
  <c r="L8" i="11"/>
  <c r="V7" i="11"/>
  <c r="I13" i="7"/>
  <c r="I15" i="8"/>
  <c r="J13" i="8"/>
  <c r="J10" i="7"/>
  <c r="K10" i="8"/>
  <c r="N7" i="7" l="1"/>
  <c r="O7" i="8"/>
  <c r="I16" i="8"/>
  <c r="I16" i="7" s="1"/>
  <c r="I15" i="7"/>
  <c r="V8" i="11"/>
  <c r="L9" i="11"/>
  <c r="M9" i="11" s="1"/>
  <c r="R9" i="11" s="1"/>
  <c r="M8" i="11"/>
  <c r="R8" i="11" s="1"/>
  <c r="J15" i="8"/>
  <c r="J13" i="7"/>
  <c r="K8" i="11"/>
  <c r="Q8" i="11" s="1"/>
  <c r="U8" i="11"/>
  <c r="J9" i="11"/>
  <c r="K9" i="11" s="1"/>
  <c r="Q9" i="11" s="1"/>
  <c r="I8" i="11"/>
  <c r="P8" i="11" s="1"/>
  <c r="H9" i="11"/>
  <c r="T8" i="11"/>
  <c r="K10" i="7"/>
  <c r="K13" i="8"/>
  <c r="L10" i="8"/>
  <c r="O7" i="7" l="1"/>
  <c r="P7" i="8"/>
  <c r="V9" i="11"/>
  <c r="L10" i="11"/>
  <c r="L10" i="7"/>
  <c r="L13" i="8"/>
  <c r="M10" i="8"/>
  <c r="J16" i="8"/>
  <c r="J16" i="7" s="1"/>
  <c r="J15" i="7"/>
  <c r="T9" i="11"/>
  <c r="H10" i="11"/>
  <c r="I9" i="11"/>
  <c r="P9" i="11" s="1"/>
  <c r="U9" i="11"/>
  <c r="J10" i="11"/>
  <c r="K15" i="8"/>
  <c r="K13" i="7"/>
  <c r="Q7" i="8" l="1"/>
  <c r="P7" i="7"/>
  <c r="H11" i="11"/>
  <c r="T10" i="11"/>
  <c r="M10" i="7"/>
  <c r="N10" i="8"/>
  <c r="M13" i="8"/>
  <c r="K15" i="7"/>
  <c r="K16" i="8"/>
  <c r="K16" i="7" s="1"/>
  <c r="L15" i="8"/>
  <c r="L13" i="7"/>
  <c r="K10" i="11"/>
  <c r="Q10" i="11" s="1"/>
  <c r="U10" i="11"/>
  <c r="J11" i="11"/>
  <c r="I10" i="11"/>
  <c r="P10" i="11" s="1"/>
  <c r="V10" i="11"/>
  <c r="L11" i="11"/>
  <c r="M10" i="11"/>
  <c r="R10" i="11" s="1"/>
  <c r="R7" i="8" l="1"/>
  <c r="Q7" i="7"/>
  <c r="M13" i="7"/>
  <c r="M15" i="8"/>
  <c r="L16" i="8"/>
  <c r="L16" i="7" s="1"/>
  <c r="L15" i="7"/>
  <c r="N10" i="7"/>
  <c r="N13" i="8"/>
  <c r="O10" i="8"/>
  <c r="I11" i="11"/>
  <c r="P11" i="11" s="1"/>
  <c r="H12" i="11"/>
  <c r="I12" i="11" s="1"/>
  <c r="P12" i="11" s="1"/>
  <c r="T11" i="11"/>
  <c r="M11" i="11"/>
  <c r="R11" i="11" s="1"/>
  <c r="L12" i="11"/>
  <c r="V11" i="11"/>
  <c r="U11" i="11"/>
  <c r="J12" i="11"/>
  <c r="K11" i="11"/>
  <c r="Q11" i="11" s="1"/>
  <c r="S7" i="8" l="1"/>
  <c r="R7" i="7"/>
  <c r="O10" i="7"/>
  <c r="P10" i="8"/>
  <c r="O13" i="8"/>
  <c r="L13" i="11"/>
  <c r="V12" i="11"/>
  <c r="M12" i="11"/>
  <c r="R12" i="11" s="1"/>
  <c r="N15" i="8"/>
  <c r="N13" i="7"/>
  <c r="M16" i="8"/>
  <c r="M16" i="7" s="1"/>
  <c r="M15" i="7"/>
  <c r="H13" i="11"/>
  <c r="T12" i="11"/>
  <c r="K12" i="11"/>
  <c r="Q12" i="11" s="1"/>
  <c r="J13" i="11"/>
  <c r="U12" i="11"/>
  <c r="T7" i="8" l="1"/>
  <c r="S7" i="7"/>
  <c r="H14" i="11"/>
  <c r="T13" i="11"/>
  <c r="I13" i="11"/>
  <c r="P13" i="11" s="1"/>
  <c r="N16" i="8"/>
  <c r="N16" i="7" s="1"/>
  <c r="N15" i="7"/>
  <c r="U27" i="7" s="1"/>
  <c r="L14" i="11"/>
  <c r="V13" i="11"/>
  <c r="M13" i="11"/>
  <c r="R13" i="11" s="1"/>
  <c r="J14" i="11"/>
  <c r="U13" i="11"/>
  <c r="K13" i="11"/>
  <c r="Q13" i="11" s="1"/>
  <c r="O15" i="8"/>
  <c r="O13" i="7"/>
  <c r="P13" i="8"/>
  <c r="Q10" i="8"/>
  <c r="P10" i="7"/>
  <c r="T7" i="7" l="1"/>
  <c r="U7" i="8"/>
  <c r="O16" i="8"/>
  <c r="O16" i="7" s="1"/>
  <c r="O15" i="7"/>
  <c r="Q10" i="7"/>
  <c r="R10" i="8"/>
  <c r="Q13" i="8"/>
  <c r="P13" i="7"/>
  <c r="P15" i="8"/>
  <c r="L15" i="11"/>
  <c r="V14" i="11"/>
  <c r="M14" i="11"/>
  <c r="R14" i="11" s="1"/>
  <c r="J15" i="11"/>
  <c r="U14" i="11"/>
  <c r="K14" i="11"/>
  <c r="Q14" i="11" s="1"/>
  <c r="T14" i="11"/>
  <c r="H15" i="11"/>
  <c r="I14" i="11"/>
  <c r="P14" i="11" s="1"/>
  <c r="U7" i="7" l="1"/>
  <c r="V7" i="8"/>
  <c r="L16" i="11"/>
  <c r="V15" i="11"/>
  <c r="M15" i="11"/>
  <c r="R15" i="11" s="1"/>
  <c r="R10" i="7"/>
  <c r="S10" i="8"/>
  <c r="R13" i="8"/>
  <c r="H16" i="11"/>
  <c r="T15" i="11"/>
  <c r="I15" i="11"/>
  <c r="P15" i="11" s="1"/>
  <c r="U15" i="11"/>
  <c r="J16" i="11"/>
  <c r="K15" i="11"/>
  <c r="Q15" i="11" s="1"/>
  <c r="P15" i="7"/>
  <c r="P16" i="8"/>
  <c r="P16" i="7" s="1"/>
  <c r="Q13" i="7"/>
  <c r="Q15" i="8"/>
  <c r="W7" i="8" l="1"/>
  <c r="W7" i="7" s="1"/>
  <c r="V7" i="7"/>
  <c r="U16" i="11"/>
  <c r="J17" i="11"/>
  <c r="K16" i="11"/>
  <c r="Q16" i="11" s="1"/>
  <c r="T16" i="11"/>
  <c r="H17" i="11"/>
  <c r="I16" i="11"/>
  <c r="P16" i="11" s="1"/>
  <c r="R15" i="8"/>
  <c r="R13" i="7"/>
  <c r="Q16" i="8"/>
  <c r="Q16" i="7" s="1"/>
  <c r="Q15" i="7"/>
  <c r="S13" i="8"/>
  <c r="T10" i="8"/>
  <c r="S10" i="7"/>
  <c r="V16" i="11"/>
  <c r="L17" i="11"/>
  <c r="M16" i="11"/>
  <c r="R16" i="11" s="1"/>
  <c r="T13" i="8" l="1"/>
  <c r="T10" i="7"/>
  <c r="U10" i="8"/>
  <c r="V17" i="11"/>
  <c r="L18" i="11"/>
  <c r="M17" i="11"/>
  <c r="R17" i="11" s="1"/>
  <c r="S13" i="7"/>
  <c r="S15" i="8"/>
  <c r="R15" i="7"/>
  <c r="R16" i="8"/>
  <c r="R16" i="7" s="1"/>
  <c r="U17" i="11"/>
  <c r="J18" i="11"/>
  <c r="K17" i="11"/>
  <c r="Q17" i="11" s="1"/>
  <c r="H18" i="11"/>
  <c r="T17" i="11"/>
  <c r="I17" i="11"/>
  <c r="P17" i="11" s="1"/>
  <c r="U10" i="7" l="1"/>
  <c r="V10" i="8"/>
  <c r="U13" i="8"/>
  <c r="U18" i="11"/>
  <c r="F19" i="11" s="1"/>
  <c r="J19" i="11"/>
  <c r="K18" i="11"/>
  <c r="Q18" i="11" s="1"/>
  <c r="S15" i="7"/>
  <c r="S16" i="8"/>
  <c r="S16" i="7" s="1"/>
  <c r="H19" i="11"/>
  <c r="T18" i="11"/>
  <c r="E19" i="11" s="1"/>
  <c r="I18" i="11"/>
  <c r="P18" i="11" s="1"/>
  <c r="L19" i="11"/>
  <c r="V18" i="11"/>
  <c r="G19" i="11" s="1"/>
  <c r="M18" i="11"/>
  <c r="R18" i="11" s="1"/>
  <c r="T13" i="7"/>
  <c r="T15" i="8"/>
  <c r="T15" i="7" l="1"/>
  <c r="T16" i="8"/>
  <c r="T16" i="7" s="1"/>
  <c r="V19" i="11"/>
  <c r="L20" i="11"/>
  <c r="M19" i="11"/>
  <c r="R19" i="11" s="1"/>
  <c r="U13" i="7"/>
  <c r="U15" i="8"/>
  <c r="W10" i="8"/>
  <c r="V13" i="8"/>
  <c r="V10" i="7"/>
  <c r="T19" i="11"/>
  <c r="H20" i="11"/>
  <c r="I19" i="11"/>
  <c r="P19" i="11" s="1"/>
  <c r="J20" i="11"/>
  <c r="U19" i="11"/>
  <c r="K19" i="11"/>
  <c r="Q19" i="11" s="1"/>
  <c r="V13" i="7" l="1"/>
  <c r="V15" i="8"/>
  <c r="H21" i="11"/>
  <c r="T20" i="11"/>
  <c r="I20" i="11"/>
  <c r="P20" i="11" s="1"/>
  <c r="W10" i="7"/>
  <c r="W13" i="8"/>
  <c r="V20" i="11"/>
  <c r="L21" i="11"/>
  <c r="M20" i="11"/>
  <c r="R20" i="11" s="1"/>
  <c r="U16" i="8"/>
  <c r="U16" i="7" s="1"/>
  <c r="U15" i="7"/>
  <c r="U20" i="11"/>
  <c r="J21" i="11"/>
  <c r="K20" i="11"/>
  <c r="Q20" i="11" s="1"/>
  <c r="V21" i="11" l="1"/>
  <c r="L22" i="11"/>
  <c r="M21" i="11"/>
  <c r="R21" i="11" s="1"/>
  <c r="W13" i="7"/>
  <c r="W15" i="8"/>
  <c r="H22" i="11"/>
  <c r="T21" i="11"/>
  <c r="I21" i="11"/>
  <c r="P21" i="11" s="1"/>
  <c r="U21" i="11"/>
  <c r="J22" i="11"/>
  <c r="K21" i="11"/>
  <c r="Q21" i="11" s="1"/>
  <c r="V15" i="7"/>
  <c r="V16" i="8"/>
  <c r="V16" i="7" s="1"/>
  <c r="W16" i="8" l="1"/>
  <c r="W16" i="7" s="1"/>
  <c r="W15" i="7"/>
  <c r="U28" i="7" s="1"/>
  <c r="U22" i="11"/>
  <c r="J23" i="11"/>
  <c r="K22" i="11"/>
  <c r="Q22" i="11" s="1"/>
  <c r="T22" i="11"/>
  <c r="H23" i="11"/>
  <c r="I22" i="11"/>
  <c r="P22" i="11" s="1"/>
  <c r="L23" i="11"/>
  <c r="V22" i="11"/>
  <c r="M22" i="11"/>
  <c r="R22" i="11" s="1"/>
  <c r="V23" i="11" l="1"/>
  <c r="G20" i="11" s="1"/>
  <c r="M23" i="11"/>
  <c r="R23" i="11" s="1"/>
  <c r="U23" i="11"/>
  <c r="F20" i="11" s="1"/>
  <c r="K23" i="11"/>
  <c r="Q23" i="11" s="1"/>
  <c r="T23" i="11"/>
  <c r="E20" i="11" s="1"/>
  <c r="I23" i="11"/>
  <c r="P23" i="11" s="1"/>
</calcChain>
</file>

<file path=xl/sharedStrings.xml><?xml version="1.0" encoding="utf-8"?>
<sst xmlns="http://schemas.openxmlformats.org/spreadsheetml/2006/main" count="286" uniqueCount="198">
  <si>
    <t>(valeurs d'irradiation issus de Calsol de l'INES)</t>
  </si>
  <si>
    <t xml:space="preserve">Rendement des tubes </t>
  </si>
  <si>
    <t>Coefficient angle (direct)</t>
  </si>
  <si>
    <t>Nombre de Tubes</t>
  </si>
  <si>
    <t>Réseaux et échangeurs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</si>
  <si>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</si>
  <si>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</si>
  <si>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</si>
  <si>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</si>
  <si>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</si>
  <si>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</si>
  <si>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</si>
  <si>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</si>
  <si>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</si>
  <si>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</si>
  <si>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</si>
  <si>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</si>
  <si>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Année</t>
  </si>
  <si>
    <t>Irradiation Globale (45°)</t>
  </si>
  <si>
    <t>Irradiation Direct</t>
  </si>
  <si>
    <t>Irradiation Diffus</t>
  </si>
  <si>
    <t>nb de jour opérationel</t>
  </si>
  <si>
    <t>Coefficient réfléchis+diffus</t>
  </si>
  <si>
    <t>température eau froide °C</t>
  </si>
  <si>
    <t>température eau chaude °C</t>
  </si>
  <si>
    <t>Conso d'eau litre/jour</t>
  </si>
  <si>
    <t xml:space="preserve">Perte de chauffe et de maintien </t>
  </si>
  <si>
    <t xml:space="preserve">Réduction de temps de chauffe </t>
  </si>
  <si>
    <t>Tube / ballon</t>
  </si>
  <si>
    <t>Nombre de ballon</t>
  </si>
  <si>
    <r>
      <t xml:space="preserve">Prévision Energétique </t>
    </r>
    <r>
      <rPr>
        <sz val="9"/>
        <color indexed="8"/>
        <rFont val="Arial"/>
        <family val="2"/>
      </rPr>
      <t>(Le Mans)</t>
    </r>
  </si>
  <si>
    <t>ECS par mois (L)</t>
  </si>
  <si>
    <t>conso. de gaz  par an</t>
  </si>
  <si>
    <t>Solaire Thermique utile</t>
  </si>
  <si>
    <t>Calcul</t>
  </si>
  <si>
    <t>(réfléchie = 0,3 diffus)</t>
  </si>
  <si>
    <t>SYSTÈME FENGTECH SIMULATION</t>
  </si>
  <si>
    <t xml:space="preserve">Albedo </t>
  </si>
  <si>
    <t xml:space="preserve">Propane </t>
  </si>
  <si>
    <t>Unité (kWh/m² x jours)</t>
  </si>
  <si>
    <t>Projet</t>
  </si>
  <si>
    <t>Date</t>
  </si>
  <si>
    <t>Energie appoint (gaz ou autre)</t>
  </si>
  <si>
    <t>LE MANS</t>
  </si>
  <si>
    <t xml:space="preserve">Irradiation Direct </t>
  </si>
  <si>
    <t>(kWh / mois)</t>
  </si>
  <si>
    <t>Irradiation Diffus+Reflé</t>
  </si>
  <si>
    <t xml:space="preserve">Irradiation Globale </t>
  </si>
  <si>
    <t>(kWh / jour)</t>
  </si>
  <si>
    <t>Besoins en énergie</t>
  </si>
  <si>
    <t>Potentiel solaire</t>
  </si>
  <si>
    <t>E0</t>
  </si>
  <si>
    <t>E0'</t>
  </si>
  <si>
    <t>E1</t>
  </si>
  <si>
    <t>E2'</t>
  </si>
  <si>
    <t>E1/E0</t>
  </si>
  <si>
    <t>Taux  de couverture par mois</t>
  </si>
  <si>
    <t>Ve</t>
  </si>
  <si>
    <t>Va</t>
  </si>
  <si>
    <t xml:space="preserve">Besoins en énergie total </t>
  </si>
  <si>
    <t>Energie de chauffe (s/Sth)/mois</t>
  </si>
  <si>
    <t>Energie de chauffe (s/Sth)/jour</t>
  </si>
  <si>
    <t>Besoins de Chauffage /jour</t>
  </si>
  <si>
    <t>Besoins de Chauffage/mois</t>
  </si>
  <si>
    <t>Energie de chauffe (a/Sth)/mois</t>
  </si>
  <si>
    <t>Energie de chauffe (a/Sth)/jour</t>
  </si>
  <si>
    <t>euros</t>
  </si>
  <si>
    <t>20 èmé années</t>
  </si>
  <si>
    <t>11 ème année</t>
  </si>
  <si>
    <t>6 ème année</t>
  </si>
  <si>
    <t>1ère année</t>
  </si>
  <si>
    <t>Date:</t>
  </si>
  <si>
    <t xml:space="preserve">Economie d'énergie </t>
  </si>
  <si>
    <t>N°</t>
  </si>
  <si>
    <t>ans</t>
  </si>
  <si>
    <t>Date :</t>
  </si>
  <si>
    <t>Taux de rendement</t>
  </si>
  <si>
    <t>ROI 3</t>
  </si>
  <si>
    <t>ROI 2</t>
  </si>
  <si>
    <t>ROI 1</t>
  </si>
  <si>
    <t>Economie cumulée</t>
  </si>
  <si>
    <t>Economie par an</t>
  </si>
  <si>
    <t>Taux 3</t>
  </si>
  <si>
    <t>Taux 2</t>
  </si>
  <si>
    <t>Taux 1</t>
  </si>
  <si>
    <t>²</t>
  </si>
  <si>
    <t>avec</t>
  </si>
  <si>
    <t>Project</t>
  </si>
  <si>
    <t>Simulation ENERGY</t>
  </si>
  <si>
    <t>Energy comsumption per year</t>
  </si>
  <si>
    <t>Number of ETF units</t>
  </si>
  <si>
    <t>Solar irradiance value (Calsol INES)</t>
  </si>
  <si>
    <t>Unit (kWh / m² / day)</t>
  </si>
  <si>
    <t>Direct irradiance</t>
  </si>
  <si>
    <t>Diffus irradiance</t>
  </si>
  <si>
    <t>Cold water temperature (°C)</t>
  </si>
  <si>
    <t>Water requirement L/day</t>
  </si>
  <si>
    <t>Numbre of operation day</t>
  </si>
  <si>
    <t>Hot water tempareture °C</t>
  </si>
  <si>
    <t>Heat loss from boiler system</t>
  </si>
  <si>
    <t>Investment eligible to public aid</t>
  </si>
  <si>
    <t>Investment non eligible to public aid</t>
  </si>
  <si>
    <t>Energy cost</t>
  </si>
  <si>
    <t>Capital loan</t>
  </si>
  <si>
    <t>Loan rate</t>
  </si>
  <si>
    <t>Period</t>
  </si>
  <si>
    <t>Energy price increasing /year</t>
  </si>
  <si>
    <t>Simulation FINANCEMENT and ROIC</t>
  </si>
  <si>
    <t>Total uesful energy need</t>
  </si>
  <si>
    <t>Energy saving</t>
  </si>
  <si>
    <t>Solar energy rate</t>
  </si>
  <si>
    <t>Reduction of CO2 emissions</t>
  </si>
  <si>
    <t>kWh/year</t>
  </si>
  <si>
    <t>kg/year</t>
  </si>
  <si>
    <t>kWh/m²/year</t>
  </si>
  <si>
    <t>Tubes / ETF unit</t>
  </si>
  <si>
    <t>ETF units</t>
  </si>
  <si>
    <t>Numbre of tubes</t>
  </si>
  <si>
    <t>Designation</t>
  </si>
  <si>
    <t>Hot water requirement</t>
  </si>
  <si>
    <t>Conventional energy need without STE</t>
  </si>
  <si>
    <t>Useful Solar thermal energy</t>
  </si>
  <si>
    <t>Conventional energy consumption
  with solar thermal energy</t>
  </si>
  <si>
    <t>Capture surface in front of a unit</t>
  </si>
  <si>
    <t>Effcetive capture area in front of a unit</t>
  </si>
  <si>
    <t>Propane saving</t>
  </si>
  <si>
    <t>Results of financement simulation</t>
  </si>
  <si>
    <t>Costs without STE</t>
  </si>
  <si>
    <t>Loan repayment</t>
  </si>
  <si>
    <t>Gas remaining to buy</t>
  </si>
  <si>
    <t>System maintenance</t>
  </si>
  <si>
    <t>Costs with STE</t>
  </si>
  <si>
    <t>Enegy saving (1-5) €HT/Y</t>
  </si>
  <si>
    <t>Energy saving €HT/m</t>
  </si>
  <si>
    <t>Enegy saving (1-5) €HT/y</t>
  </si>
  <si>
    <t>Total Invest</t>
  </si>
  <si>
    <t>Grant</t>
  </si>
  <si>
    <t xml:space="preserve">Loan rate </t>
  </si>
  <si>
    <t>Energy consumption before STE</t>
  </si>
  <si>
    <t xml:space="preserve">Energy saving </t>
  </si>
  <si>
    <t>Year</t>
  </si>
  <si>
    <t xml:space="preserve">Hypothese energy cost raising </t>
  </si>
  <si>
    <t>kWh/Year</t>
  </si>
  <si>
    <t>€ HT/kWh</t>
  </si>
  <si>
    <t>/ Year</t>
  </si>
  <si>
    <t>Project:</t>
  </si>
  <si>
    <t>Financing simulation results (self-financing)</t>
  </si>
  <si>
    <t>Investissement  financement</t>
  </si>
  <si>
    <t>Total Investment</t>
  </si>
  <si>
    <t>Public aid</t>
  </si>
  <si>
    <t>Savings in the first year</t>
  </si>
  <si>
    <t>Current energy bill</t>
  </si>
  <si>
    <t>Average ROIC (at 15 years)</t>
  </si>
  <si>
    <t>Average ROIC (at 20 years)</t>
  </si>
  <si>
    <t>Payback (years) =</t>
  </si>
  <si>
    <t xml:space="preserve">ROIC (at first year) = </t>
  </si>
  <si>
    <t>Simulation resultas ROI and ROIC</t>
  </si>
  <si>
    <t>Project :</t>
  </si>
  <si>
    <t>Return of invertement (ROI)</t>
  </si>
  <si>
    <t>Return of invested capitals (ROIC)</t>
  </si>
  <si>
    <t>Energy saving rate</t>
  </si>
  <si>
    <t xml:space="preserve">Public aid </t>
  </si>
  <si>
    <t>Invested capitals (except aid)</t>
  </si>
  <si>
    <t>Total investement (with aid)</t>
  </si>
  <si>
    <t>Solar hot water production</t>
  </si>
  <si>
    <t>xxxx</t>
  </si>
  <si>
    <t>Solar energy simulation results</t>
  </si>
  <si>
    <t>euro HT/ kWh</t>
  </si>
  <si>
    <t>Aid</t>
  </si>
  <si>
    <t>Feb</t>
  </si>
  <si>
    <t>May</t>
  </si>
  <si>
    <t>Luly</t>
  </si>
  <si>
    <t>Aug</t>
  </si>
  <si>
    <t>Sep</t>
  </si>
  <si>
    <t>Dec.</t>
  </si>
  <si>
    <t>Nov.</t>
  </si>
  <si>
    <t>Oct.</t>
  </si>
  <si>
    <t>Jan.</t>
  </si>
  <si>
    <t>Mar.</t>
  </si>
  <si>
    <t>Apl.</t>
  </si>
  <si>
    <t>€HT</t>
  </si>
  <si>
    <t>Prix estimé</t>
  </si>
  <si>
    <t>€HT/unité</t>
  </si>
  <si>
    <t>Site preparation</t>
  </si>
  <si>
    <t>ETF unit installation</t>
  </si>
  <si>
    <t>€/kWh</t>
  </si>
  <si>
    <t>kWh/Y</t>
  </si>
  <si>
    <t>Liter/Y</t>
  </si>
  <si>
    <t>m²</t>
  </si>
  <si>
    <t>kg/Y</t>
  </si>
  <si>
    <t>Loan period</t>
  </si>
  <si>
    <t>Saving € / Year</t>
  </si>
  <si>
    <t>Useful solar energy per m² of front capture surface</t>
  </si>
  <si>
    <t>Energy saving per m² of front capture surface</t>
  </si>
  <si>
    <t>Useful solar energy per m² of front effective capture area</t>
  </si>
  <si>
    <t>Total conventional energy need</t>
  </si>
  <si>
    <t>Investment/(Energy saving per year)</t>
  </si>
  <si>
    <t>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</si>
</sst>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&quot;VRAI&quot;;&quot;VRAI&quot;;&quot;FAUX&quot;"/>
    <numFmt numFmtId="165" formatCode="#,##0_ ;\-#,##0\ "/>
    <numFmt numFmtId="166" formatCode="_-* #,##0\ _€_-;\-* #,##0\ _€_-;_-* &quot;-&quot;??\ _€_-;_-@_-"/>
    <numFmt numFmtId="167" formatCode="#,##0\ _€"/>
    <numFmt numFmtId="168" formatCode="_(&quot;€&quot;* #,##0.00_);_(&quot;€&quot;* \(#,##0.00\);_(&quot;€&quot;* &quot;-&quot;??_);_(@_)"/>
    <numFmt numFmtId="169" formatCode="0.0%"/>
    <numFmt numFmtId="170" formatCode="0.0"/>
    <numFmt numFmtId="171" formatCode="0.000"/>
    <numFmt numFmtId="172" formatCode="_(* #,##0.00_);_(* \(#,##0.00\);_(* &quot;-&quot;??_);_(@_)"/>
    <numFmt numFmtId="173" formatCode="_-* #,##0.00\ [$€-40C]_-;\-* #,##0.00\ [$€-40C]_-;_-* &quot;-&quot;??\ [$€-40C]_-;_-@_-"/>
  </numFmts>
  <fonts count="47" x14ac:knownFonts="1"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sz val="9"/>
      <color indexed="19"/>
      <name val="Arial"/>
      <family val="2"/>
    </font>
    <font>
      <sz val="12"/>
      <color indexed="8"/>
      <name val="Times New Roman"/>
      <family val="1"/>
    </font>
    <font>
      <sz val="11"/>
      <color indexed="8"/>
      <name val="Arial"/>
      <family val="2"/>
    </font>
    <font>
      <sz val="12"/>
      <color rgb="FF000000"/>
      <name val="Times New Roman"/>
      <family val="1"/>
    </font>
    <font>
      <b/>
      <sz val="11"/>
      <color indexed="8"/>
      <name val="Arial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i/>
      <sz val="9"/>
      <color indexed="8"/>
      <name val="Arial"/>
      <family val="2"/>
    </font>
    <font>
      <i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u/>
      <sz val="10"/>
      <name val="Arial"/>
      <family val="2"/>
    </font>
    <font>
      <sz val="10"/>
      <name val="Calibri"/>
      <family val="2"/>
    </font>
    <font>
      <sz val="14"/>
      <color indexed="8"/>
      <name val="Arial"/>
      <family val="2"/>
    </font>
    <font>
      <sz val="12"/>
      <color indexed="48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42"/>
      </patternFill>
    </fill>
    <fill>
      <patternFill patternType="solid">
        <fgColor theme="0"/>
        <bgColor indexed="22"/>
      </patternFill>
    </fill>
    <fill>
      <patternFill patternType="solid">
        <fgColor rgb="FFFF9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9E63A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A4D76B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indexed="42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">
    <xf numFmtId="0" fontId="0" fillId="0" borderId="0"/>
    <xf numFmtId="9" fontId="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2" fillId="0" borderId="0"/>
    <xf numFmtId="168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403">
    <xf numFmtId="0" fontId="0" fillId="0" borderId="0" xfId="0"/>
    <xf numFmtId="0" fontId="0" fillId="0" borderId="0" xfId="0" applyNumberFormat="1"/>
    <xf numFmtId="1" fontId="0" fillId="0" borderId="0" xfId="0" applyNumberFormat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0" fontId="4" fillId="0" borderId="2" xfId="0" applyNumberFormat="1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5" fillId="4" borderId="1" xfId="0" applyFont="1" applyFill="1" applyBorder="1"/>
    <xf numFmtId="4" fontId="6" fillId="3" borderId="1" xfId="0" applyNumberFormat="1" applyFont="1" applyFill="1" applyBorder="1"/>
    <xf numFmtId="0" fontId="7" fillId="0" borderId="1" xfId="0" applyFont="1" applyBorder="1" applyAlignment="1">
      <alignment horizontal="left"/>
    </xf>
    <xf numFmtId="4" fontId="5" fillId="0" borderId="1" xfId="0" applyNumberFormat="1" applyFont="1" applyBorder="1"/>
    <xf numFmtId="0" fontId="4" fillId="0" borderId="1" xfId="0" applyFont="1" applyBorder="1"/>
    <xf numFmtId="1" fontId="4" fillId="0" borderId="1" xfId="0" applyNumberFormat="1" applyFont="1" applyBorder="1"/>
    <xf numFmtId="1" fontId="4" fillId="3" borderId="1" xfId="0" applyNumberFormat="1" applyFont="1" applyFill="1" applyBorder="1"/>
    <xf numFmtId="1" fontId="3" fillId="3" borderId="1" xfId="0" applyNumberFormat="1" applyFont="1" applyFill="1" applyBorder="1"/>
    <xf numFmtId="0" fontId="4" fillId="0" borderId="2" xfId="0" applyNumberFormat="1" applyFont="1" applyFill="1" applyBorder="1"/>
    <xf numFmtId="1" fontId="4" fillId="0" borderId="3" xfId="0" applyNumberFormat="1" applyFont="1" applyBorder="1"/>
    <xf numFmtId="0" fontId="4" fillId="2" borderId="5" xfId="0" applyFont="1" applyFill="1" applyBorder="1" applyAlignment="1">
      <alignment horizontal="left"/>
    </xf>
    <xf numFmtId="1" fontId="4" fillId="6" borderId="5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4" fillId="6" borderId="1" xfId="0" applyFont="1" applyFill="1" applyBorder="1"/>
    <xf numFmtId="1" fontId="3" fillId="0" borderId="1" xfId="0" applyNumberFormat="1" applyFont="1" applyBorder="1"/>
    <xf numFmtId="0" fontId="3" fillId="0" borderId="1" xfId="0" applyFont="1" applyBorder="1"/>
    <xf numFmtId="164" fontId="4" fillId="0" borderId="1" xfId="0" applyNumberFormat="1" applyFont="1" applyBorder="1"/>
    <xf numFmtId="9" fontId="4" fillId="0" borderId="1" xfId="0" applyNumberFormat="1" applyFont="1" applyBorder="1"/>
    <xf numFmtId="9" fontId="3" fillId="0" borderId="1" xfId="0" applyNumberFormat="1" applyFont="1" applyBorder="1"/>
    <xf numFmtId="0" fontId="4" fillId="0" borderId="0" xfId="0" applyNumberFormat="1" applyFont="1"/>
    <xf numFmtId="0" fontId="4" fillId="0" borderId="2" xfId="0" applyNumberFormat="1" applyFont="1" applyBorder="1"/>
    <xf numFmtId="0" fontId="4" fillId="7" borderId="0" xfId="0" applyNumberFormat="1" applyFont="1" applyFill="1"/>
    <xf numFmtId="1" fontId="4" fillId="0" borderId="0" xfId="0" applyNumberFormat="1" applyFont="1"/>
    <xf numFmtId="3" fontId="4" fillId="0" borderId="0" xfId="0" applyNumberFormat="1" applyFont="1"/>
    <xf numFmtId="0" fontId="3" fillId="5" borderId="2" xfId="0" applyNumberFormat="1" applyFont="1" applyFill="1" applyBorder="1"/>
    <xf numFmtId="0" fontId="8" fillId="8" borderId="6" xfId="0" applyFont="1" applyFill="1" applyBorder="1" applyAlignment="1">
      <alignment vertical="center" wrapText="1"/>
    </xf>
    <xf numFmtId="0" fontId="10" fillId="8" borderId="6" xfId="0" applyFont="1" applyFill="1" applyBorder="1" applyAlignment="1">
      <alignment vertical="center" wrapText="1"/>
    </xf>
    <xf numFmtId="0" fontId="0" fillId="0" borderId="0" xfId="0" applyNumberFormat="1" applyAlignment="1">
      <alignment horizontal="right"/>
    </xf>
    <xf numFmtId="9" fontId="0" fillId="0" borderId="0" xfId="1" applyFont="1" applyAlignment="1">
      <alignment horizontal="left"/>
    </xf>
    <xf numFmtId="1" fontId="0" fillId="0" borderId="0" xfId="0" applyNumberFormat="1" applyAlignment="1">
      <alignment horizontal="left"/>
    </xf>
    <xf numFmtId="9" fontId="0" fillId="0" borderId="0" xfId="1" applyFont="1" applyAlignment="1">
      <alignment horizontal="right"/>
    </xf>
    <xf numFmtId="9" fontId="11" fillId="0" borderId="0" xfId="1" applyFont="1" applyAlignment="1">
      <alignment horizontal="left"/>
    </xf>
    <xf numFmtId="2" fontId="0" fillId="0" borderId="0" xfId="0" applyNumberFormat="1"/>
    <xf numFmtId="9" fontId="0" fillId="0" borderId="0" xfId="1" applyFont="1"/>
    <xf numFmtId="1" fontId="0" fillId="0" borderId="0" xfId="1" applyNumberFormat="1" applyFont="1"/>
    <xf numFmtId="0" fontId="3" fillId="5" borderId="2" xfId="0" applyFont="1" applyFill="1" applyBorder="1"/>
    <xf numFmtId="0" fontId="3" fillId="9" borderId="2" xfId="0" applyFont="1" applyFill="1" applyBorder="1"/>
    <xf numFmtId="1" fontId="4" fillId="10" borderId="1" xfId="0" applyNumberFormat="1" applyFont="1" applyFill="1" applyBorder="1"/>
    <xf numFmtId="1" fontId="4" fillId="10" borderId="4" xfId="0" applyNumberFormat="1" applyFont="1" applyFill="1" applyBorder="1"/>
    <xf numFmtId="1" fontId="4" fillId="9" borderId="1" xfId="0" applyNumberFormat="1" applyFont="1" applyFill="1" applyBorder="1"/>
    <xf numFmtId="0" fontId="4" fillId="5" borderId="2" xfId="0" applyFont="1" applyFill="1" applyBorder="1"/>
    <xf numFmtId="0" fontId="3" fillId="12" borderId="2" xfId="0" applyFont="1" applyFill="1" applyBorder="1"/>
    <xf numFmtId="9" fontId="3" fillId="5" borderId="2" xfId="0" applyNumberFormat="1" applyFont="1" applyFill="1" applyBorder="1"/>
    <xf numFmtId="0" fontId="13" fillId="0" borderId="0" xfId="0" applyFont="1"/>
    <xf numFmtId="0" fontId="0" fillId="0" borderId="0" xfId="0" applyBorder="1"/>
    <xf numFmtId="0" fontId="14" fillId="0" borderId="2" xfId="0" applyFont="1" applyBorder="1" applyAlignment="1">
      <alignment horizontal="center"/>
    </xf>
    <xf numFmtId="0" fontId="13" fillId="9" borderId="2" xfId="0" applyFont="1" applyFill="1" applyBorder="1" applyAlignment="1">
      <alignment horizontal="right"/>
    </xf>
    <xf numFmtId="0" fontId="17" fillId="9" borderId="2" xfId="0" applyFont="1" applyFill="1" applyBorder="1" applyAlignment="1">
      <alignment horizontal="right"/>
    </xf>
    <xf numFmtId="0" fontId="12" fillId="0" borderId="0" xfId="0" applyFont="1"/>
    <xf numFmtId="165" fontId="15" fillId="9" borderId="2" xfId="0" applyNumberFormat="1" applyFont="1" applyFill="1" applyBorder="1"/>
    <xf numFmtId="165" fontId="13" fillId="0" borderId="2" xfId="0" applyNumberFormat="1" applyFont="1" applyBorder="1"/>
    <xf numFmtId="165" fontId="17" fillId="0" borderId="2" xfId="0" applyNumberFormat="1" applyFont="1" applyBorder="1"/>
    <xf numFmtId="0" fontId="13" fillId="9" borderId="2" xfId="0" applyFont="1" applyFill="1" applyBorder="1"/>
    <xf numFmtId="0" fontId="0" fillId="0" borderId="2" xfId="0" applyBorder="1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0" fillId="12" borderId="2" xfId="0" applyFont="1" applyFill="1" applyBorder="1"/>
    <xf numFmtId="0" fontId="20" fillId="0" borderId="0" xfId="0" applyFont="1"/>
    <xf numFmtId="1" fontId="13" fillId="9" borderId="2" xfId="0" applyNumberFormat="1" applyFont="1" applyFill="1" applyBorder="1" applyAlignment="1">
      <alignment horizontal="left"/>
    </xf>
    <xf numFmtId="0" fontId="13" fillId="0" borderId="2" xfId="0" applyFont="1" applyBorder="1" applyAlignment="1">
      <alignment horizontal="center"/>
    </xf>
    <xf numFmtId="3" fontId="13" fillId="9" borderId="2" xfId="0" applyNumberFormat="1" applyFont="1" applyFill="1" applyBorder="1" applyAlignment="1">
      <alignment horizontal="center"/>
    </xf>
    <xf numFmtId="3" fontId="13" fillId="9" borderId="2" xfId="1" applyNumberFormat="1" applyFont="1" applyFill="1" applyBorder="1" applyAlignment="1">
      <alignment horizontal="center"/>
    </xf>
    <xf numFmtId="3" fontId="17" fillId="9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9" fontId="3" fillId="13" borderId="2" xfId="0" applyNumberFormat="1" applyFont="1" applyFill="1" applyBorder="1"/>
    <xf numFmtId="9" fontId="4" fillId="0" borderId="0" xfId="1" applyFont="1" applyAlignment="1">
      <alignment horizontal="right"/>
    </xf>
    <xf numFmtId="0" fontId="21" fillId="0" borderId="1" xfId="0" applyFont="1" applyBorder="1" applyAlignment="1">
      <alignment horizontal="left"/>
    </xf>
    <xf numFmtId="1" fontId="22" fillId="0" borderId="1" xfId="0" applyNumberFormat="1" applyFont="1" applyBorder="1"/>
    <xf numFmtId="1" fontId="21" fillId="0" borderId="1" xfId="0" applyNumberFormat="1" applyFont="1" applyBorder="1"/>
    <xf numFmtId="0" fontId="18" fillId="9" borderId="0" xfId="0" applyFont="1" applyFill="1" applyAlignment="1">
      <alignment horizontal="right"/>
    </xf>
    <xf numFmtId="0" fontId="11" fillId="0" borderId="0" xfId="0" applyFont="1" applyBorder="1"/>
    <xf numFmtId="1" fontId="0" fillId="0" borderId="0" xfId="0" applyNumberFormat="1" applyBorder="1"/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4" fillId="2" borderId="13" xfId="0" applyFont="1" applyFill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1" fillId="0" borderId="0" xfId="0" applyFont="1" applyAlignment="1">
      <alignment horizontal="right"/>
    </xf>
    <xf numFmtId="14" fontId="0" fillId="0" borderId="0" xfId="0" applyNumberFormat="1" applyFont="1" applyAlignment="1">
      <alignment horizontal="center"/>
    </xf>
    <xf numFmtId="0" fontId="0" fillId="0" borderId="7" xfId="0" applyFont="1" applyBorder="1" applyAlignment="1">
      <alignment horizontal="left"/>
    </xf>
    <xf numFmtId="0" fontId="0" fillId="9" borderId="8" xfId="0" applyFont="1" applyFill="1" applyBorder="1"/>
    <xf numFmtId="0" fontId="0" fillId="9" borderId="12" xfId="0" applyFont="1" applyFill="1" applyBorder="1"/>
    <xf numFmtId="0" fontId="0" fillId="9" borderId="7" xfId="0" applyFont="1" applyFill="1" applyBorder="1"/>
    <xf numFmtId="0" fontId="11" fillId="0" borderId="11" xfId="0" applyFont="1" applyBorder="1" applyAlignment="1">
      <alignment horizontal="right"/>
    </xf>
    <xf numFmtId="0" fontId="11" fillId="9" borderId="11" xfId="0" applyFont="1" applyFill="1" applyBorder="1" applyAlignment="1">
      <alignment horizontal="right"/>
    </xf>
    <xf numFmtId="0" fontId="11" fillId="9" borderId="0" xfId="0" applyFont="1" applyFill="1" applyBorder="1" applyAlignment="1">
      <alignment horizontal="right"/>
    </xf>
    <xf numFmtId="3" fontId="0" fillId="0" borderId="11" xfId="0" applyNumberFormat="1" applyFont="1" applyBorder="1" applyAlignment="1">
      <alignment horizontal="right"/>
    </xf>
    <xf numFmtId="3" fontId="0" fillId="0" borderId="7" xfId="0" applyNumberFormat="1" applyFont="1" applyBorder="1" applyAlignment="1">
      <alignment horizontal="left"/>
    </xf>
    <xf numFmtId="1" fontId="0" fillId="9" borderId="0" xfId="0" applyNumberFormat="1" applyFont="1" applyFill="1" applyBorder="1" applyAlignment="1">
      <alignment horizontal="center"/>
    </xf>
    <xf numFmtId="0" fontId="0" fillId="9" borderId="10" xfId="0" applyFont="1" applyFill="1" applyBorder="1"/>
    <xf numFmtId="3" fontId="0" fillId="9" borderId="9" xfId="0" applyNumberFormat="1" applyFont="1" applyFill="1" applyBorder="1" applyAlignment="1">
      <alignment horizontal="right"/>
    </xf>
    <xf numFmtId="9" fontId="0" fillId="0" borderId="11" xfId="1" applyFont="1" applyBorder="1" applyAlignment="1">
      <alignment horizontal="right"/>
    </xf>
    <xf numFmtId="3" fontId="0" fillId="9" borderId="11" xfId="0" applyNumberFormat="1" applyFont="1" applyFill="1" applyBorder="1" applyAlignment="1">
      <alignment horizontal="right"/>
    </xf>
    <xf numFmtId="3" fontId="0" fillId="9" borderId="7" xfId="0" applyNumberFormat="1" applyFont="1" applyFill="1" applyBorder="1" applyAlignment="1">
      <alignment horizontal="left"/>
    </xf>
    <xf numFmtId="0" fontId="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2" fillId="9" borderId="0" xfId="0" applyFont="1" applyFill="1" applyBorder="1"/>
    <xf numFmtId="165" fontId="16" fillId="9" borderId="2" xfId="0" applyNumberFormat="1" applyFont="1" applyFill="1" applyBorder="1" applyAlignment="1">
      <alignment horizontal="center"/>
    </xf>
    <xf numFmtId="165" fontId="12" fillId="0" borderId="2" xfId="0" applyNumberFormat="1" applyFont="1" applyBorder="1" applyAlignment="1">
      <alignment horizontal="center"/>
    </xf>
    <xf numFmtId="165" fontId="24" fillId="0" borderId="2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14" fontId="13" fillId="0" borderId="0" xfId="0" applyNumberFormat="1" applyFont="1" applyBorder="1" applyAlignment="1">
      <alignment horizontal="center"/>
    </xf>
    <xf numFmtId="1" fontId="17" fillId="9" borderId="2" xfId="0" applyNumberFormat="1" applyFont="1" applyFill="1" applyBorder="1" applyAlignment="1">
      <alignment horizontal="left"/>
    </xf>
    <xf numFmtId="0" fontId="12" fillId="9" borderId="2" xfId="0" applyFont="1" applyFill="1" applyBorder="1" applyAlignment="1">
      <alignment horizontal="right"/>
    </xf>
    <xf numFmtId="0" fontId="2" fillId="0" borderId="0" xfId="2"/>
    <xf numFmtId="0" fontId="26" fillId="0" borderId="0" xfId="2" applyFont="1"/>
    <xf numFmtId="0" fontId="26" fillId="0" borderId="0" xfId="2" applyFont="1" applyAlignment="1">
      <alignment horizontal="center"/>
    </xf>
    <xf numFmtId="0" fontId="26" fillId="0" borderId="2" xfId="2" applyFont="1" applyBorder="1" applyAlignment="1">
      <alignment horizontal="left"/>
    </xf>
    <xf numFmtId="166" fontId="26" fillId="3" borderId="2" xfId="3" applyNumberFormat="1" applyFont="1" applyFill="1" applyBorder="1" applyAlignment="1"/>
    <xf numFmtId="0" fontId="26" fillId="0" borderId="0" xfId="2" applyFont="1" applyAlignment="1">
      <alignment horizontal="left"/>
    </xf>
    <xf numFmtId="0" fontId="26" fillId="0" borderId="0" xfId="2" applyFont="1" applyAlignment="1">
      <alignment horizontal="right"/>
    </xf>
    <xf numFmtId="0" fontId="26" fillId="11" borderId="2" xfId="2" applyFont="1" applyFill="1" applyBorder="1"/>
    <xf numFmtId="0" fontId="26" fillId="0" borderId="0" xfId="2" applyFont="1" applyBorder="1"/>
    <xf numFmtId="0" fontId="2" fillId="0" borderId="0" xfId="2" applyBorder="1"/>
    <xf numFmtId="0" fontId="28" fillId="0" borderId="0" xfId="2" applyFont="1"/>
    <xf numFmtId="0" fontId="28" fillId="0" borderId="0" xfId="2" applyFont="1" applyBorder="1"/>
    <xf numFmtId="0" fontId="28" fillId="0" borderId="8" xfId="2" applyFont="1" applyBorder="1"/>
    <xf numFmtId="0" fontId="25" fillId="0" borderId="0" xfId="2" applyFont="1"/>
    <xf numFmtId="0" fontId="30" fillId="0" borderId="0" xfId="2" applyFont="1"/>
    <xf numFmtId="167" fontId="2" fillId="0" borderId="0" xfId="2" applyNumberFormat="1" applyAlignment="1">
      <alignment horizontal="center"/>
    </xf>
    <xf numFmtId="0" fontId="25" fillId="0" borderId="0" xfId="2" applyFont="1" applyAlignment="1">
      <alignment horizontal="center"/>
    </xf>
    <xf numFmtId="166" fontId="2" fillId="14" borderId="2" xfId="2" applyNumberFormat="1" applyFill="1" applyBorder="1"/>
    <xf numFmtId="167" fontId="2" fillId="14" borderId="2" xfId="2" applyNumberFormat="1" applyFill="1" applyBorder="1" applyAlignment="1">
      <alignment horizontal="center"/>
    </xf>
    <xf numFmtId="166" fontId="2" fillId="14" borderId="2" xfId="2" applyNumberFormat="1" applyFont="1" applyFill="1" applyBorder="1"/>
    <xf numFmtId="166" fontId="2" fillId="14" borderId="2" xfId="3" applyNumberFormat="1" applyFont="1" applyFill="1" applyBorder="1"/>
    <xf numFmtId="0" fontId="2" fillId="0" borderId="2" xfId="2" applyBorder="1"/>
    <xf numFmtId="0" fontId="25" fillId="0" borderId="2" xfId="2" applyFont="1" applyBorder="1"/>
    <xf numFmtId="0" fontId="25" fillId="0" borderId="2" xfId="2" applyFont="1" applyBorder="1" applyAlignment="1">
      <alignment horizontal="center"/>
    </xf>
    <xf numFmtId="0" fontId="25" fillId="9" borderId="0" xfId="2" applyFont="1" applyFill="1"/>
    <xf numFmtId="0" fontId="25" fillId="9" borderId="2" xfId="2" applyFont="1" applyFill="1" applyBorder="1"/>
    <xf numFmtId="0" fontId="25" fillId="9" borderId="2" xfId="2" applyFont="1" applyFill="1" applyBorder="1" applyAlignment="1">
      <alignment horizontal="center"/>
    </xf>
    <xf numFmtId="166" fontId="2" fillId="0" borderId="0" xfId="3" applyNumberFormat="1" applyFont="1"/>
    <xf numFmtId="166" fontId="25" fillId="17" borderId="2" xfId="3" applyNumberFormat="1" applyFont="1" applyFill="1" applyBorder="1"/>
    <xf numFmtId="166" fontId="2" fillId="0" borderId="2" xfId="3" applyNumberFormat="1" applyFont="1" applyBorder="1"/>
    <xf numFmtId="9" fontId="31" fillId="0" borderId="2" xfId="2" applyNumberFormat="1" applyFont="1" applyFill="1" applyBorder="1"/>
    <xf numFmtId="10" fontId="2" fillId="18" borderId="2" xfId="2" applyNumberFormat="1" applyFill="1" applyBorder="1" applyAlignment="1">
      <alignment horizontal="center"/>
    </xf>
    <xf numFmtId="166" fontId="2" fillId="0" borderId="11" xfId="3" applyNumberFormat="1" applyFont="1" applyBorder="1"/>
    <xf numFmtId="167" fontId="2" fillId="18" borderId="2" xfId="2" applyNumberFormat="1" applyFill="1" applyBorder="1" applyAlignment="1">
      <alignment horizontal="center"/>
    </xf>
    <xf numFmtId="167" fontId="2" fillId="18" borderId="2" xfId="3" applyNumberFormat="1" applyFont="1" applyFill="1" applyBorder="1" applyAlignment="1">
      <alignment horizontal="center"/>
    </xf>
    <xf numFmtId="166" fontId="25" fillId="19" borderId="11" xfId="3" applyNumberFormat="1" applyFont="1" applyFill="1" applyBorder="1"/>
    <xf numFmtId="166" fontId="25" fillId="19" borderId="2" xfId="3" applyNumberFormat="1" applyFont="1" applyFill="1" applyBorder="1"/>
    <xf numFmtId="9" fontId="2" fillId="0" borderId="2" xfId="2" applyNumberFormat="1" applyFont="1" applyFill="1" applyBorder="1"/>
    <xf numFmtId="167" fontId="2" fillId="18" borderId="2" xfId="2" applyNumberFormat="1" applyFont="1" applyFill="1" applyBorder="1" applyAlignment="1">
      <alignment horizontal="center"/>
    </xf>
    <xf numFmtId="0" fontId="2" fillId="18" borderId="2" xfId="2" applyFont="1" applyFill="1" applyBorder="1" applyAlignment="1">
      <alignment horizontal="center"/>
    </xf>
    <xf numFmtId="0" fontId="29" fillId="0" borderId="0" xfId="2" applyFont="1" applyAlignment="1">
      <alignment horizontal="left"/>
    </xf>
    <xf numFmtId="0" fontId="32" fillId="0" borderId="0" xfId="5"/>
    <xf numFmtId="0" fontId="19" fillId="0" borderId="2" xfId="5" applyFont="1" applyBorder="1" applyAlignment="1">
      <alignment horizontal="right"/>
    </xf>
    <xf numFmtId="0" fontId="27" fillId="0" borderId="0" xfId="5" applyFont="1"/>
    <xf numFmtId="0" fontId="27" fillId="0" borderId="2" xfId="5" applyFont="1" applyBorder="1"/>
    <xf numFmtId="0" fontId="19" fillId="0" borderId="7" xfId="5" applyFont="1" applyBorder="1" applyAlignment="1">
      <alignment horizontal="right"/>
    </xf>
    <xf numFmtId="9" fontId="27" fillId="20" borderId="2" xfId="7" applyFont="1" applyFill="1" applyBorder="1" applyAlignment="1">
      <alignment horizontal="right"/>
    </xf>
    <xf numFmtId="9" fontId="27" fillId="21" borderId="2" xfId="7" applyFont="1" applyFill="1" applyBorder="1" applyAlignment="1">
      <alignment horizontal="right"/>
    </xf>
    <xf numFmtId="9" fontId="27" fillId="22" borderId="2" xfId="7" applyFont="1" applyFill="1" applyBorder="1" applyAlignment="1">
      <alignment horizontal="right"/>
    </xf>
    <xf numFmtId="0" fontId="32" fillId="0" borderId="2" xfId="5" applyBorder="1"/>
    <xf numFmtId="0" fontId="27" fillId="0" borderId="7" xfId="5" applyFont="1" applyBorder="1" applyAlignment="1">
      <alignment horizontal="right"/>
    </xf>
    <xf numFmtId="0" fontId="27" fillId="0" borderId="12" xfId="5" applyFont="1" applyBorder="1" applyAlignment="1">
      <alignment horizontal="left"/>
    </xf>
    <xf numFmtId="0" fontId="32" fillId="0" borderId="12" xfId="5" applyBorder="1"/>
    <xf numFmtId="0" fontId="32" fillId="0" borderId="11" xfId="5" applyBorder="1"/>
    <xf numFmtId="0" fontId="27" fillId="0" borderId="0" xfId="5" applyFont="1" applyBorder="1"/>
    <xf numFmtId="9" fontId="27" fillId="0" borderId="10" xfId="5" applyNumberFormat="1" applyFont="1" applyBorder="1"/>
    <xf numFmtId="0" fontId="27" fillId="0" borderId="7" xfId="5" applyFont="1" applyBorder="1"/>
    <xf numFmtId="0" fontId="27" fillId="0" borderId="12" xfId="5" applyFont="1" applyBorder="1"/>
    <xf numFmtId="0" fontId="27" fillId="0" borderId="20" xfId="5" applyFont="1" applyBorder="1"/>
    <xf numFmtId="0" fontId="27" fillId="0" borderId="15" xfId="5" applyFont="1" applyBorder="1" applyAlignment="1">
      <alignment horizontal="right"/>
    </xf>
    <xf numFmtId="0" fontId="19" fillId="0" borderId="11" xfId="5" applyFont="1" applyBorder="1" applyAlignment="1">
      <alignment horizontal="right"/>
    </xf>
    <xf numFmtId="14" fontId="27" fillId="0" borderId="0" xfId="5" applyNumberFormat="1" applyFont="1" applyAlignment="1">
      <alignment horizontal="center"/>
    </xf>
    <xf numFmtId="0" fontId="19" fillId="0" borderId="0" xfId="5" applyFont="1" applyAlignment="1">
      <alignment horizontal="right"/>
    </xf>
    <xf numFmtId="0" fontId="27" fillId="0" borderId="0" xfId="5" applyFont="1" applyAlignment="1">
      <alignment horizontal="left"/>
    </xf>
    <xf numFmtId="0" fontId="19" fillId="0" borderId="0" xfId="5" applyFont="1" applyAlignment="1">
      <alignment horizontal="center"/>
    </xf>
    <xf numFmtId="0" fontId="19" fillId="0" borderId="0" xfId="5" applyFont="1"/>
    <xf numFmtId="0" fontId="32" fillId="0" borderId="0" xfId="5" applyAlignment="1">
      <alignment vertical="center"/>
    </xf>
    <xf numFmtId="0" fontId="32" fillId="0" borderId="0" xfId="5" applyBorder="1" applyAlignment="1">
      <alignment vertical="center"/>
    </xf>
    <xf numFmtId="9" fontId="0" fillId="0" borderId="0" xfId="7" applyFont="1" applyAlignment="1">
      <alignment vertical="center"/>
    </xf>
    <xf numFmtId="9" fontId="33" fillId="0" borderId="0" xfId="7" applyFont="1" applyAlignment="1">
      <alignment vertical="center"/>
    </xf>
    <xf numFmtId="0" fontId="33" fillId="0" borderId="0" xfId="5" applyFont="1" applyAlignment="1">
      <alignment vertical="center"/>
    </xf>
    <xf numFmtId="0" fontId="33" fillId="0" borderId="0" xfId="5" applyFont="1" applyBorder="1" applyAlignment="1">
      <alignment vertical="center"/>
    </xf>
    <xf numFmtId="169" fontId="33" fillId="0" borderId="0" xfId="7" applyNumberFormat="1" applyFont="1" applyAlignment="1">
      <alignment horizontal="left" vertical="center"/>
    </xf>
    <xf numFmtId="170" fontId="33" fillId="0" borderId="0" xfId="5" applyNumberFormat="1" applyFont="1" applyAlignment="1">
      <alignment horizontal="left" vertical="center"/>
    </xf>
    <xf numFmtId="169" fontId="33" fillId="0" borderId="0" xfId="7" applyNumberFormat="1" applyFont="1" applyAlignment="1">
      <alignment vertical="center"/>
    </xf>
    <xf numFmtId="2" fontId="33" fillId="0" borderId="0" xfId="5" applyNumberFormat="1" applyFont="1" applyBorder="1" applyAlignment="1">
      <alignment vertical="center"/>
    </xf>
    <xf numFmtId="168" fontId="33" fillId="0" borderId="0" xfId="5" applyNumberFormat="1" applyFont="1" applyBorder="1" applyAlignment="1">
      <alignment vertical="center"/>
    </xf>
    <xf numFmtId="168" fontId="33" fillId="0" borderId="0" xfId="6" applyFont="1" applyBorder="1" applyAlignment="1">
      <alignment vertical="center"/>
    </xf>
    <xf numFmtId="168" fontId="33" fillId="0" borderId="0" xfId="5" applyNumberFormat="1" applyFont="1" applyAlignment="1">
      <alignment vertical="center"/>
    </xf>
    <xf numFmtId="169" fontId="33" fillId="0" borderId="21" xfId="5" applyNumberFormat="1" applyFont="1" applyBorder="1" applyAlignment="1">
      <alignment horizontal="center" vertical="center"/>
    </xf>
    <xf numFmtId="9" fontId="33" fillId="0" borderId="0" xfId="5" applyNumberFormat="1" applyFont="1" applyBorder="1" applyAlignment="1">
      <alignment horizontal="center" vertical="center"/>
    </xf>
    <xf numFmtId="171" fontId="35" fillId="0" borderId="0" xfId="5" applyNumberFormat="1" applyFont="1" applyBorder="1" applyAlignment="1">
      <alignment horizontal="center" vertical="center"/>
    </xf>
    <xf numFmtId="9" fontId="33" fillId="0" borderId="21" xfId="5" applyNumberFormat="1" applyFont="1" applyBorder="1" applyAlignment="1">
      <alignment horizontal="center" vertical="center"/>
    </xf>
    <xf numFmtId="9" fontId="35" fillId="0" borderId="0" xfId="5" applyNumberFormat="1" applyFont="1" applyBorder="1" applyAlignment="1">
      <alignment horizontal="center" vertical="center"/>
    </xf>
    <xf numFmtId="166" fontId="35" fillId="0" borderId="0" xfId="8" applyNumberFormat="1" applyFont="1" applyBorder="1" applyAlignment="1">
      <alignment horizontal="center" vertical="center"/>
    </xf>
    <xf numFmtId="44" fontId="33" fillId="3" borderId="21" xfId="9" applyFont="1" applyFill="1" applyBorder="1" applyAlignment="1">
      <alignment horizontal="center" vertical="center"/>
    </xf>
    <xf numFmtId="172" fontId="35" fillId="0" borderId="0" xfId="8" applyFont="1" applyBorder="1" applyAlignment="1">
      <alignment horizontal="center" vertical="center"/>
    </xf>
    <xf numFmtId="9" fontId="33" fillId="0" borderId="0" xfId="7" applyFont="1" applyFill="1" applyBorder="1" applyAlignment="1">
      <alignment horizontal="center" vertical="center"/>
    </xf>
    <xf numFmtId="9" fontId="33" fillId="23" borderId="21" xfId="7" applyFont="1" applyFill="1" applyBorder="1" applyAlignment="1">
      <alignment horizontal="center" vertical="center"/>
    </xf>
    <xf numFmtId="9" fontId="36" fillId="24" borderId="21" xfId="7" applyFont="1" applyFill="1" applyBorder="1" applyAlignment="1">
      <alignment horizontal="center" vertical="center"/>
    </xf>
    <xf numFmtId="9" fontId="33" fillId="25" borderId="21" xfId="7" applyFont="1" applyFill="1" applyBorder="1" applyAlignment="1">
      <alignment horizontal="center" vertical="center"/>
    </xf>
    <xf numFmtId="9" fontId="33" fillId="3" borderId="21" xfId="7" applyFont="1" applyFill="1" applyBorder="1" applyAlignment="1">
      <alignment horizontal="center" vertical="center"/>
    </xf>
    <xf numFmtId="173" fontId="33" fillId="3" borderId="21" xfId="6" applyNumberFormat="1" applyFont="1" applyFill="1" applyBorder="1" applyAlignment="1">
      <alignment horizontal="center" vertical="center"/>
    </xf>
    <xf numFmtId="168" fontId="33" fillId="0" borderId="0" xfId="6" applyFont="1" applyBorder="1" applyAlignment="1">
      <alignment horizontal="center" vertical="center"/>
    </xf>
    <xf numFmtId="173" fontId="33" fillId="0" borderId="21" xfId="6" applyNumberFormat="1" applyFont="1" applyBorder="1" applyAlignment="1">
      <alignment horizontal="center" vertical="center"/>
    </xf>
    <xf numFmtId="14" fontId="34" fillId="0" borderId="0" xfId="5" applyNumberFormat="1" applyFont="1" applyAlignment="1">
      <alignment horizontal="left" vertical="center"/>
    </xf>
    <xf numFmtId="44" fontId="34" fillId="0" borderId="0" xfId="9" applyFont="1" applyAlignment="1">
      <alignment horizontal="left" vertical="center"/>
    </xf>
    <xf numFmtId="14" fontId="34" fillId="0" borderId="0" xfId="5" applyNumberFormat="1" applyFont="1" applyAlignment="1">
      <alignment horizontal="right" vertical="center"/>
    </xf>
    <xf numFmtId="14" fontId="34" fillId="0" borderId="0" xfId="5" applyNumberFormat="1" applyFont="1" applyAlignment="1">
      <alignment horizontal="center" vertical="center"/>
    </xf>
    <xf numFmtId="1" fontId="34" fillId="0" borderId="0" xfId="5" applyNumberFormat="1" applyFont="1" applyAlignment="1">
      <alignment horizontal="center" vertical="center"/>
    </xf>
    <xf numFmtId="0" fontId="37" fillId="0" borderId="0" xfId="5" applyFont="1" applyAlignment="1">
      <alignment vertical="center"/>
    </xf>
    <xf numFmtId="0" fontId="38" fillId="0" borderId="0" xfId="5" applyFont="1"/>
    <xf numFmtId="0" fontId="34" fillId="0" borderId="0" xfId="5" applyFont="1" applyAlignment="1">
      <alignment horizontal="center" vertical="center"/>
    </xf>
    <xf numFmtId="0" fontId="34" fillId="0" borderId="0" xfId="5" applyFont="1" applyBorder="1" applyAlignment="1">
      <alignment vertical="center"/>
    </xf>
    <xf numFmtId="0" fontId="34" fillId="0" borderId="0" xfId="5" applyFont="1" applyBorder="1" applyAlignment="1">
      <alignment horizontal="center" vertical="center"/>
    </xf>
    <xf numFmtId="0" fontId="34" fillId="0" borderId="0" xfId="5" applyFont="1" applyAlignment="1">
      <alignment horizontal="left" vertical="center"/>
    </xf>
    <xf numFmtId="0" fontId="33" fillId="0" borderId="0" xfId="5" applyFont="1" applyBorder="1" applyAlignment="1">
      <alignment horizontal="center" vertical="center"/>
    </xf>
    <xf numFmtId="0" fontId="37" fillId="0" borderId="0" xfId="5" applyFont="1" applyAlignment="1">
      <alignment horizontal="left" vertical="center"/>
    </xf>
    <xf numFmtId="0" fontId="18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19" fillId="12" borderId="2" xfId="0" applyFont="1" applyFill="1" applyBorder="1" applyAlignment="1">
      <alignment horizontal="right"/>
    </xf>
    <xf numFmtId="0" fontId="19" fillId="0" borderId="0" xfId="0" applyFont="1" applyAlignment="1">
      <alignment horizontal="right"/>
    </xf>
    <xf numFmtId="0" fontId="19" fillId="0" borderId="2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19" fillId="10" borderId="2" xfId="0" applyFont="1" applyFill="1" applyBorder="1" applyAlignment="1">
      <alignment horizontal="right"/>
    </xf>
    <xf numFmtId="0" fontId="19" fillId="0" borderId="5" xfId="0" applyFont="1" applyBorder="1" applyAlignment="1">
      <alignment horizontal="right"/>
    </xf>
    <xf numFmtId="0" fontId="19" fillId="0" borderId="1" xfId="0" applyFont="1" applyBorder="1" applyAlignment="1">
      <alignment horizontal="right"/>
    </xf>
    <xf numFmtId="0" fontId="10" fillId="9" borderId="6" xfId="0" applyFont="1" applyFill="1" applyBorder="1" applyAlignment="1">
      <alignment horizontal="right" vertical="center" wrapText="1"/>
    </xf>
    <xf numFmtId="0" fontId="19" fillId="0" borderId="2" xfId="0" applyNumberFormat="1" applyFont="1" applyFill="1" applyBorder="1" applyAlignment="1">
      <alignment horizontal="right"/>
    </xf>
    <xf numFmtId="0" fontId="19" fillId="2" borderId="1" xfId="0" applyFont="1" applyFill="1" applyBorder="1" applyAlignment="1">
      <alignment horizontal="right"/>
    </xf>
    <xf numFmtId="0" fontId="18" fillId="0" borderId="2" xfId="0" applyNumberFormat="1" applyFont="1" applyBorder="1" applyAlignment="1">
      <alignment horizontal="right"/>
    </xf>
    <xf numFmtId="0" fontId="26" fillId="9" borderId="0" xfId="2" applyFont="1" applyFill="1" applyBorder="1" applyAlignment="1">
      <alignment horizontal="center"/>
    </xf>
    <xf numFmtId="0" fontId="27" fillId="9" borderId="19" xfId="5" applyFont="1" applyFill="1" applyBorder="1"/>
    <xf numFmtId="0" fontId="19" fillId="9" borderId="19" xfId="5" applyFont="1" applyFill="1" applyBorder="1" applyAlignment="1">
      <alignment horizontal="right"/>
    </xf>
    <xf numFmtId="0" fontId="27" fillId="9" borderId="15" xfId="5" applyFont="1" applyFill="1" applyBorder="1"/>
    <xf numFmtId="0" fontId="27" fillId="9" borderId="12" xfId="5" applyFont="1" applyFill="1" applyBorder="1"/>
    <xf numFmtId="0" fontId="19" fillId="9" borderId="7" xfId="5" applyFont="1" applyFill="1" applyBorder="1" applyAlignment="1">
      <alignment horizontal="right"/>
    </xf>
    <xf numFmtId="9" fontId="27" fillId="9" borderId="20" xfId="7" applyFont="1" applyFill="1" applyBorder="1"/>
    <xf numFmtId="0" fontId="27" fillId="9" borderId="20" xfId="5" applyFont="1" applyFill="1" applyBorder="1"/>
    <xf numFmtId="0" fontId="19" fillId="9" borderId="9" xfId="5" applyFont="1" applyFill="1" applyBorder="1" applyAlignment="1">
      <alignment horizontal="right"/>
    </xf>
    <xf numFmtId="3" fontId="27" fillId="9" borderId="11" xfId="5" applyNumberFormat="1" applyFont="1" applyFill="1" applyBorder="1"/>
    <xf numFmtId="0" fontId="27" fillId="9" borderId="17" xfId="5" applyFont="1" applyFill="1" applyBorder="1"/>
    <xf numFmtId="0" fontId="19" fillId="9" borderId="17" xfId="5" applyFont="1" applyFill="1" applyBorder="1" applyAlignment="1">
      <alignment horizontal="right"/>
    </xf>
    <xf numFmtId="0" fontId="27" fillId="9" borderId="7" xfId="5" applyFont="1" applyFill="1" applyBorder="1"/>
    <xf numFmtId="0" fontId="27" fillId="9" borderId="0" xfId="5" applyFont="1" applyFill="1" applyBorder="1"/>
    <xf numFmtId="3" fontId="27" fillId="9" borderId="0" xfId="5" applyNumberFormat="1" applyFont="1" applyFill="1" applyBorder="1"/>
    <xf numFmtId="0" fontId="19" fillId="9" borderId="12" xfId="5" applyFont="1" applyFill="1" applyBorder="1"/>
    <xf numFmtId="3" fontId="27" fillId="9" borderId="15" xfId="5" applyNumberFormat="1" applyFont="1" applyFill="1" applyBorder="1"/>
    <xf numFmtId="0" fontId="29" fillId="0" borderId="2" xfId="2" applyFont="1" applyBorder="1" applyAlignment="1">
      <alignment horizontal="right"/>
    </xf>
    <xf numFmtId="3" fontId="26" fillId="27" borderId="2" xfId="2" applyNumberFormat="1" applyFont="1" applyFill="1" applyBorder="1" applyAlignment="1">
      <alignment horizontal="center"/>
    </xf>
    <xf numFmtId="0" fontId="26" fillId="27" borderId="2" xfId="2" applyFont="1" applyFill="1" applyBorder="1" applyAlignment="1">
      <alignment horizontal="center"/>
    </xf>
    <xf numFmtId="9" fontId="26" fillId="27" borderId="2" xfId="2" applyNumberFormat="1" applyFont="1" applyFill="1" applyBorder="1" applyAlignment="1">
      <alignment horizontal="center"/>
    </xf>
    <xf numFmtId="10" fontId="26" fillId="27" borderId="2" xfId="2" applyNumberFormat="1" applyFont="1" applyFill="1" applyBorder="1" applyAlignment="1">
      <alignment horizontal="center"/>
    </xf>
    <xf numFmtId="9" fontId="15" fillId="26" borderId="2" xfId="2" applyNumberFormat="1" applyFont="1" applyFill="1" applyBorder="1" applyAlignment="1">
      <alignment horizontal="center"/>
    </xf>
    <xf numFmtId="9" fontId="15" fillId="21" borderId="2" xfId="2" applyNumberFormat="1" applyFont="1" applyFill="1" applyBorder="1" applyAlignment="1">
      <alignment horizontal="center"/>
    </xf>
    <xf numFmtId="9" fontId="15" fillId="14" borderId="2" xfId="2" applyNumberFormat="1" applyFont="1" applyFill="1" applyBorder="1" applyAlignment="1">
      <alignment horizontal="center"/>
    </xf>
    <xf numFmtId="0" fontId="18" fillId="9" borderId="2" xfId="0" applyNumberFormat="1" applyFont="1" applyFill="1" applyBorder="1" applyAlignment="1">
      <alignment horizontal="right"/>
    </xf>
    <xf numFmtId="0" fontId="33" fillId="0" borderId="21" xfId="0" applyFont="1" applyBorder="1" applyAlignment="1">
      <alignment vertical="center"/>
    </xf>
    <xf numFmtId="0" fontId="0" fillId="18" borderId="2" xfId="0" applyFill="1" applyBorder="1"/>
    <xf numFmtId="0" fontId="1" fillId="0" borderId="0" xfId="2" applyFont="1" applyAlignment="1">
      <alignment horizontal="center"/>
    </xf>
    <xf numFmtId="0" fontId="1" fillId="0" borderId="0" xfId="2" applyFont="1"/>
    <xf numFmtId="0" fontId="12" fillId="3" borderId="2" xfId="0" applyFont="1" applyFill="1" applyBorder="1" applyAlignment="1">
      <alignment horizontal="right"/>
    </xf>
    <xf numFmtId="0" fontId="12" fillId="5" borderId="2" xfId="0" applyFont="1" applyFill="1" applyBorder="1"/>
    <xf numFmtId="0" fontId="13" fillId="8" borderId="6" xfId="0" applyFont="1" applyFill="1" applyBorder="1" applyAlignment="1">
      <alignment vertical="center" wrapText="1"/>
    </xf>
    <xf numFmtId="0" fontId="13" fillId="10" borderId="2" xfId="0" applyFont="1" applyFill="1" applyBorder="1" applyAlignment="1">
      <alignment horizontal="right"/>
    </xf>
    <xf numFmtId="0" fontId="13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4" fontId="40" fillId="0" borderId="1" xfId="0" applyNumberFormat="1" applyFont="1" applyBorder="1"/>
    <xf numFmtId="0" fontId="42" fillId="9" borderId="0" xfId="0" applyFont="1" applyFill="1"/>
    <xf numFmtId="0" fontId="41" fillId="9" borderId="6" xfId="0" applyFont="1" applyFill="1" applyBorder="1" applyAlignment="1">
      <alignment vertical="center" wrapText="1"/>
    </xf>
    <xf numFmtId="1" fontId="13" fillId="0" borderId="1" xfId="0" applyNumberFormat="1" applyFont="1" applyBorder="1"/>
    <xf numFmtId="0" fontId="44" fillId="27" borderId="2" xfId="0" applyNumberFormat="1" applyFont="1" applyFill="1" applyBorder="1"/>
    <xf numFmtId="0" fontId="12" fillId="27" borderId="2" xfId="0" applyNumberFormat="1" applyFont="1" applyFill="1" applyBorder="1"/>
    <xf numFmtId="0" fontId="42" fillId="0" borderId="0" xfId="0" applyFont="1" applyAlignment="1">
      <alignment horizontal="right"/>
    </xf>
    <xf numFmtId="0" fontId="42" fillId="0" borderId="0" xfId="0" applyFont="1"/>
    <xf numFmtId="0" fontId="16" fillId="3" borderId="0" xfId="2" applyFont="1" applyFill="1" applyAlignment="1">
      <alignment horizontal="right"/>
    </xf>
    <xf numFmtId="0" fontId="16" fillId="0" borderId="21" xfId="0" applyFont="1" applyBorder="1" applyAlignment="1">
      <alignment horizontal="right" vertical="center"/>
    </xf>
    <xf numFmtId="0" fontId="15" fillId="11" borderId="2" xfId="2" applyFont="1" applyFill="1" applyBorder="1" applyAlignment="1">
      <alignment horizontal="center"/>
    </xf>
    <xf numFmtId="0" fontId="16" fillId="0" borderId="7" xfId="2" applyFont="1" applyBorder="1" applyAlignment="1">
      <alignment horizontal="center"/>
    </xf>
    <xf numFmtId="0" fontId="16" fillId="0" borderId="14" xfId="2" applyFont="1" applyBorder="1" applyAlignment="1">
      <alignment horizontal="right"/>
    </xf>
    <xf numFmtId="0" fontId="15" fillId="9" borderId="0" xfId="2" applyFont="1" applyFill="1" applyBorder="1" applyAlignment="1">
      <alignment horizontal="center"/>
    </xf>
    <xf numFmtId="0" fontId="12" fillId="18" borderId="2" xfId="0" applyFont="1" applyFill="1" applyBorder="1" applyAlignment="1">
      <alignment horizontal="right"/>
    </xf>
    <xf numFmtId="0" fontId="15" fillId="3" borderId="2" xfId="2" applyFont="1" applyFill="1" applyBorder="1" applyAlignment="1">
      <alignment horizontal="center"/>
    </xf>
    <xf numFmtId="0" fontId="15" fillId="0" borderId="2" xfId="2" applyFont="1" applyBorder="1" applyAlignment="1">
      <alignment horizontal="right"/>
    </xf>
    <xf numFmtId="0" fontId="16" fillId="0" borderId="2" xfId="2" applyFont="1" applyBorder="1" applyAlignment="1">
      <alignment horizontal="center"/>
    </xf>
    <xf numFmtId="0" fontId="16" fillId="0" borderId="0" xfId="2" applyFont="1" applyAlignment="1">
      <alignment horizontal="right"/>
    </xf>
    <xf numFmtId="0" fontId="15" fillId="11" borderId="2" xfId="2" applyFont="1" applyFill="1" applyBorder="1" applyAlignment="1">
      <alignment horizontal="left"/>
    </xf>
    <xf numFmtId="0" fontId="16" fillId="9" borderId="11" xfId="0" applyFont="1" applyFill="1" applyBorder="1" applyAlignment="1">
      <alignment horizontal="right"/>
    </xf>
    <xf numFmtId="0" fontId="16" fillId="11" borderId="11" xfId="0" applyFont="1" applyFill="1" applyBorder="1" applyAlignment="1">
      <alignment horizontal="right" wrapText="1"/>
    </xf>
    <xf numFmtId="0" fontId="16" fillId="11" borderId="11" xfId="0" applyFont="1" applyFill="1" applyBorder="1" applyAlignment="1">
      <alignment horizontal="right"/>
    </xf>
    <xf numFmtId="0" fontId="12" fillId="11" borderId="11" xfId="0" applyFont="1" applyFill="1" applyBorder="1" applyAlignment="1">
      <alignment horizontal="right"/>
    </xf>
    <xf numFmtId="0" fontId="14" fillId="0" borderId="11" xfId="0" applyFont="1" applyFill="1" applyBorder="1" applyAlignment="1">
      <alignment horizontal="center"/>
    </xf>
    <xf numFmtId="0" fontId="15" fillId="9" borderId="11" xfId="0" applyFont="1" applyFill="1" applyBorder="1" applyAlignment="1">
      <alignment horizontal="right"/>
    </xf>
    <xf numFmtId="0" fontId="13" fillId="0" borderId="11" xfId="0" applyFont="1" applyFill="1" applyBorder="1" applyAlignment="1">
      <alignment horizontal="right"/>
    </xf>
    <xf numFmtId="0" fontId="15" fillId="0" borderId="11" xfId="0" applyFont="1" applyBorder="1" applyAlignment="1">
      <alignment horizontal="right" wrapText="1"/>
    </xf>
    <xf numFmtId="0" fontId="17" fillId="0" borderId="11" xfId="0" applyFont="1" applyFill="1" applyBorder="1" applyAlignment="1">
      <alignment horizontal="right"/>
    </xf>
    <xf numFmtId="0" fontId="25" fillId="0" borderId="2" xfId="0" applyFont="1" applyBorder="1" applyAlignment="1">
      <alignment horizontal="right"/>
    </xf>
    <xf numFmtId="0" fontId="25" fillId="0" borderId="0" xfId="0" applyFont="1" applyAlignment="1">
      <alignment horizontal="right"/>
    </xf>
    <xf numFmtId="0" fontId="25" fillId="9" borderId="2" xfId="0" applyFont="1" applyFill="1" applyBorder="1" applyAlignment="1">
      <alignment horizontal="right"/>
    </xf>
    <xf numFmtId="0" fontId="25" fillId="0" borderId="2" xfId="2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2" xfId="0" applyFont="1" applyBorder="1" applyAlignment="1">
      <alignment horizontal="right"/>
    </xf>
    <xf numFmtId="0" fontId="1" fillId="0" borderId="2" xfId="2" applyFont="1" applyBorder="1"/>
    <xf numFmtId="0" fontId="25" fillId="0" borderId="0" xfId="2" applyFont="1" applyBorder="1" applyAlignment="1">
      <alignment horizontal="center"/>
    </xf>
    <xf numFmtId="0" fontId="0" fillId="9" borderId="2" xfId="0" applyFill="1" applyBorder="1" applyAlignment="1">
      <alignment horizontal="right"/>
    </xf>
    <xf numFmtId="0" fontId="0" fillId="9" borderId="2" xfId="0" applyFill="1" applyBorder="1"/>
    <xf numFmtId="166" fontId="2" fillId="9" borderId="0" xfId="3" applyNumberFormat="1" applyFont="1" applyFill="1" applyBorder="1"/>
    <xf numFmtId="166" fontId="2" fillId="9" borderId="0" xfId="2" applyNumberFormat="1" applyFill="1" applyBorder="1"/>
    <xf numFmtId="166" fontId="2" fillId="9" borderId="0" xfId="2" applyNumberFormat="1" applyFont="1" applyFill="1" applyBorder="1"/>
    <xf numFmtId="167" fontId="2" fillId="9" borderId="0" xfId="2" applyNumberFormat="1" applyFill="1" applyBorder="1" applyAlignment="1">
      <alignment horizontal="center"/>
    </xf>
    <xf numFmtId="0" fontId="25" fillId="0" borderId="0" xfId="2" applyFont="1" applyBorder="1" applyAlignment="1">
      <alignment horizontal="right"/>
    </xf>
    <xf numFmtId="0" fontId="2" fillId="9" borderId="2" xfId="2" applyFill="1" applyBorder="1"/>
    <xf numFmtId="9" fontId="2" fillId="9" borderId="2" xfId="4" applyFont="1" applyFill="1" applyBorder="1"/>
    <xf numFmtId="9" fontId="2" fillId="9" borderId="2" xfId="2" applyNumberFormat="1" applyFill="1" applyBorder="1"/>
    <xf numFmtId="0" fontId="29" fillId="0" borderId="14" xfId="2" applyFont="1" applyBorder="1"/>
    <xf numFmtId="0" fontId="28" fillId="0" borderId="2" xfId="2" applyFont="1" applyBorder="1" applyAlignment="1">
      <alignment horizontal="center"/>
    </xf>
    <xf numFmtId="0" fontId="28" fillId="10" borderId="2" xfId="2" applyFont="1" applyFill="1" applyBorder="1"/>
    <xf numFmtId="1" fontId="28" fillId="15" borderId="2" xfId="2" applyNumberFormat="1" applyFont="1" applyFill="1" applyBorder="1"/>
    <xf numFmtId="1" fontId="28" fillId="0" borderId="0" xfId="2" applyNumberFormat="1" applyFont="1" applyBorder="1"/>
    <xf numFmtId="1" fontId="28" fillId="0" borderId="8" xfId="2" applyNumberFormat="1" applyFont="1" applyBorder="1"/>
    <xf numFmtId="1" fontId="28" fillId="16" borderId="2" xfId="2" applyNumberFormat="1" applyFont="1" applyFill="1" applyBorder="1"/>
    <xf numFmtId="1" fontId="28" fillId="5" borderId="2" xfId="2" applyNumberFormat="1" applyFont="1" applyFill="1" applyBorder="1"/>
    <xf numFmtId="1" fontId="28" fillId="14" borderId="2" xfId="2" applyNumberFormat="1" applyFont="1" applyFill="1" applyBorder="1"/>
    <xf numFmtId="0" fontId="29" fillId="0" borderId="2" xfId="0" applyFont="1" applyBorder="1" applyAlignment="1">
      <alignment horizontal="right"/>
    </xf>
    <xf numFmtId="0" fontId="39" fillId="0" borderId="0" xfId="0" applyFont="1" applyAlignment="1">
      <alignment horizontal="right"/>
    </xf>
    <xf numFmtId="0" fontId="39" fillId="0" borderId="2" xfId="0" applyFont="1" applyBorder="1" applyAlignment="1">
      <alignment horizontal="right"/>
    </xf>
    <xf numFmtId="0" fontId="29" fillId="0" borderId="0" xfId="0" applyFont="1" applyAlignment="1">
      <alignment horizontal="right"/>
    </xf>
    <xf numFmtId="0" fontId="29" fillId="9" borderId="2" xfId="0" applyFont="1" applyFill="1" applyBorder="1" applyAlignment="1">
      <alignment horizontal="right"/>
    </xf>
    <xf numFmtId="0" fontId="29" fillId="9" borderId="2" xfId="2" applyFont="1" applyFill="1" applyBorder="1" applyAlignment="1">
      <alignment horizontal="right"/>
    </xf>
    <xf numFmtId="0" fontId="33" fillId="0" borderId="0" xfId="0" applyFont="1" applyAlignment="1">
      <alignment vertical="center"/>
    </xf>
    <xf numFmtId="0" fontId="33" fillId="0" borderId="0" xfId="0" applyFont="1" applyBorder="1" applyAlignment="1">
      <alignment vertical="center"/>
    </xf>
    <xf numFmtId="0" fontId="33" fillId="0" borderId="0" xfId="0" applyFont="1" applyAlignment="1">
      <alignment horizontal="right" vertical="center"/>
    </xf>
    <xf numFmtId="1" fontId="2" fillId="9" borderId="2" xfId="2" applyNumberFormat="1" applyFill="1" applyBorder="1"/>
    <xf numFmtId="3" fontId="2" fillId="9" borderId="2" xfId="2" applyNumberFormat="1" applyFill="1" applyBorder="1"/>
    <xf numFmtId="4" fontId="27" fillId="0" borderId="11" xfId="5" applyNumberFormat="1" applyFont="1" applyBorder="1" applyAlignment="1">
      <alignment horizontal="right"/>
    </xf>
    <xf numFmtId="170" fontId="27" fillId="0" borderId="11" xfId="5" applyNumberFormat="1" applyFont="1" applyBorder="1" applyAlignment="1">
      <alignment horizontal="right"/>
    </xf>
    <xf numFmtId="0" fontId="27" fillId="9" borderId="14" xfId="5" applyFont="1" applyFill="1" applyBorder="1"/>
    <xf numFmtId="0" fontId="27" fillId="0" borderId="11" xfId="5" applyFont="1" applyBorder="1"/>
    <xf numFmtId="0" fontId="27" fillId="9" borderId="11" xfId="5" applyFont="1" applyFill="1" applyBorder="1"/>
    <xf numFmtId="0" fontId="27" fillId="9" borderId="18" xfId="5" applyFont="1" applyFill="1" applyBorder="1"/>
    <xf numFmtId="0" fontId="19" fillId="9" borderId="11" xfId="5" applyFont="1" applyFill="1" applyBorder="1"/>
    <xf numFmtId="169" fontId="27" fillId="9" borderId="15" xfId="7" applyNumberFormat="1" applyFont="1" applyFill="1" applyBorder="1" applyAlignment="1">
      <alignment horizontal="right"/>
    </xf>
    <xf numFmtId="14" fontId="26" fillId="27" borderId="2" xfId="2" applyNumberFormat="1" applyFont="1" applyFill="1" applyBorder="1" applyAlignment="1">
      <alignment horizontal="center"/>
    </xf>
    <xf numFmtId="0" fontId="11" fillId="28" borderId="0" xfId="0" applyFont="1" applyFill="1"/>
    <xf numFmtId="166" fontId="11" fillId="28" borderId="0" xfId="10" applyNumberFormat="1" applyFont="1" applyFill="1"/>
    <xf numFmtId="0" fontId="0" fillId="28" borderId="0" xfId="0" applyFont="1" applyFill="1"/>
    <xf numFmtId="166" fontId="0" fillId="28" borderId="0" xfId="10" applyNumberFormat="1" applyFont="1" applyFill="1"/>
    <xf numFmtId="0" fontId="0" fillId="28" borderId="0" xfId="0" applyFont="1" applyFill="1" applyAlignment="1">
      <alignment horizontal="right"/>
    </xf>
    <xf numFmtId="0" fontId="13" fillId="9" borderId="0" xfId="0" applyFont="1" applyFill="1" applyBorder="1"/>
    <xf numFmtId="165" fontId="17" fillId="9" borderId="2" xfId="0" applyNumberFormat="1" applyFont="1" applyFill="1" applyBorder="1"/>
    <xf numFmtId="2" fontId="13" fillId="9" borderId="2" xfId="10" applyNumberFormat="1" applyFont="1" applyFill="1" applyBorder="1" applyAlignment="1">
      <alignment horizontal="center"/>
    </xf>
    <xf numFmtId="0" fontId="45" fillId="0" borderId="0" xfId="2" applyFont="1"/>
    <xf numFmtId="0" fontId="46" fillId="0" borderId="0" xfId="2" applyFont="1"/>
    <xf numFmtId="9" fontId="45" fillId="0" borderId="0" xfId="2" applyNumberFormat="1" applyFont="1" applyAlignment="1">
      <alignment horizontal="right"/>
    </xf>
    <xf numFmtId="9" fontId="45" fillId="0" borderId="0" xfId="2" applyNumberFormat="1" applyFont="1" applyAlignment="1">
      <alignment horizontal="center"/>
    </xf>
    <xf numFmtId="0" fontId="45" fillId="0" borderId="0" xfId="2" applyFont="1" applyAlignment="1">
      <alignment horizontal="center"/>
    </xf>
    <xf numFmtId="0" fontId="45" fillId="0" borderId="0" xfId="2" applyFont="1" applyAlignment="1">
      <alignment horizontal="right"/>
    </xf>
    <xf numFmtId="14" fontId="45" fillId="0" borderId="0" xfId="2" applyNumberFormat="1" applyFont="1"/>
    <xf numFmtId="0" fontId="45" fillId="0" borderId="0" xfId="2" applyFont="1" applyBorder="1"/>
    <xf numFmtId="0" fontId="46" fillId="0" borderId="11" xfId="2" applyFont="1" applyBorder="1"/>
    <xf numFmtId="0" fontId="46" fillId="0" borderId="7" xfId="2" applyFont="1" applyBorder="1" applyAlignment="1">
      <alignment horizontal="right"/>
    </xf>
    <xf numFmtId="166" fontId="45" fillId="0" borderId="12" xfId="3" applyNumberFormat="1" applyFont="1" applyBorder="1"/>
    <xf numFmtId="0" fontId="45" fillId="0" borderId="7" xfId="2" applyFont="1" applyBorder="1"/>
    <xf numFmtId="0" fontId="45" fillId="0" borderId="11" xfId="2" applyFont="1" applyBorder="1"/>
    <xf numFmtId="0" fontId="46" fillId="0" borderId="17" xfId="2" applyFont="1" applyBorder="1" applyAlignment="1">
      <alignment horizontal="right"/>
    </xf>
    <xf numFmtId="0" fontId="45" fillId="0" borderId="17" xfId="2" applyFont="1" applyBorder="1"/>
    <xf numFmtId="0" fontId="45" fillId="0" borderId="16" xfId="2" applyFont="1" applyBorder="1"/>
    <xf numFmtId="166" fontId="45" fillId="0" borderId="0" xfId="3" applyNumberFormat="1" applyFont="1" applyBorder="1"/>
    <xf numFmtId="0" fontId="45" fillId="0" borderId="8" xfId="2" applyFont="1" applyBorder="1"/>
    <xf numFmtId="0" fontId="45" fillId="0" borderId="12" xfId="2" applyFont="1" applyBorder="1"/>
    <xf numFmtId="0" fontId="46" fillId="0" borderId="2" xfId="2" applyFont="1" applyBorder="1" applyAlignment="1">
      <alignment horizontal="right"/>
    </xf>
    <xf numFmtId="166" fontId="45" fillId="0" borderId="12" xfId="3" applyNumberFormat="1" applyFont="1" applyBorder="1" applyAlignment="1"/>
    <xf numFmtId="0" fontId="45" fillId="0" borderId="7" xfId="2" applyFont="1" applyBorder="1" applyAlignment="1">
      <alignment horizontal="left"/>
    </xf>
    <xf numFmtId="0" fontId="45" fillId="0" borderId="14" xfId="2" applyFont="1" applyBorder="1"/>
    <xf numFmtId="0" fontId="46" fillId="0" borderId="19" xfId="2" applyFont="1" applyBorder="1" applyAlignment="1">
      <alignment horizontal="right"/>
    </xf>
    <xf numFmtId="166" fontId="45" fillId="0" borderId="0" xfId="3" applyNumberFormat="1" applyFont="1" applyBorder="1" applyAlignment="1"/>
    <xf numFmtId="0" fontId="46" fillId="0" borderId="9" xfId="2" applyFont="1" applyBorder="1"/>
    <xf numFmtId="0" fontId="46" fillId="0" borderId="10" xfId="2" applyFont="1" applyBorder="1" applyAlignment="1">
      <alignment horizontal="right"/>
    </xf>
    <xf numFmtId="10" fontId="45" fillId="0" borderId="12" xfId="4" applyNumberFormat="1" applyFont="1" applyBorder="1"/>
    <xf numFmtId="9" fontId="15" fillId="9" borderId="2" xfId="1" applyNumberFormat="1" applyFont="1" applyFill="1" applyBorder="1"/>
    <xf numFmtId="9" fontId="16" fillId="9" borderId="2" xfId="1" applyNumberFormat="1" applyFont="1" applyFill="1" applyBorder="1" applyAlignment="1">
      <alignment horizontal="center"/>
    </xf>
    <xf numFmtId="0" fontId="13" fillId="9" borderId="11" xfId="0" applyFont="1" applyFill="1" applyBorder="1" applyAlignment="1">
      <alignment horizontal="right"/>
    </xf>
    <xf numFmtId="3" fontId="13" fillId="9" borderId="2" xfId="0" applyNumberFormat="1" applyFont="1" applyFill="1" applyBorder="1"/>
    <xf numFmtId="3" fontId="12" fillId="9" borderId="2" xfId="0" applyNumberFormat="1" applyFont="1" applyFill="1" applyBorder="1" applyAlignment="1">
      <alignment horizontal="center"/>
    </xf>
    <xf numFmtId="0" fontId="15" fillId="14" borderId="11" xfId="0" applyFont="1" applyFill="1" applyBorder="1" applyAlignment="1">
      <alignment horizontal="right" wrapText="1"/>
    </xf>
    <xf numFmtId="3" fontId="15" fillId="14" borderId="2" xfId="0" applyNumberFormat="1" applyFont="1" applyFill="1" applyBorder="1"/>
    <xf numFmtId="165" fontId="15" fillId="14" borderId="2" xfId="0" applyNumberFormat="1" applyFont="1" applyFill="1" applyBorder="1"/>
    <xf numFmtId="3" fontId="16" fillId="14" borderId="2" xfId="0" applyNumberFormat="1" applyFont="1" applyFill="1" applyBorder="1" applyAlignment="1">
      <alignment horizontal="center"/>
    </xf>
    <xf numFmtId="0" fontId="15" fillId="14" borderId="11" xfId="0" applyFont="1" applyFill="1" applyBorder="1" applyAlignment="1">
      <alignment horizontal="right"/>
    </xf>
    <xf numFmtId="165" fontId="16" fillId="14" borderId="2" xfId="0" applyNumberFormat="1" applyFont="1" applyFill="1" applyBorder="1" applyAlignment="1">
      <alignment horizontal="center"/>
    </xf>
    <xf numFmtId="0" fontId="20" fillId="5" borderId="2" xfId="0" applyFont="1" applyFill="1" applyBorder="1" applyAlignment="1">
      <alignment horizontal="center"/>
    </xf>
    <xf numFmtId="0" fontId="11" fillId="28" borderId="0" xfId="0" applyFont="1" applyFill="1" applyAlignment="1">
      <alignment horizontal="right"/>
    </xf>
    <xf numFmtId="9" fontId="42" fillId="29" borderId="7" xfId="1" applyFont="1" applyFill="1" applyBorder="1"/>
    <xf numFmtId="0" fontId="13" fillId="30" borderId="1" xfId="0" applyFont="1" applyFill="1" applyBorder="1"/>
    <xf numFmtId="0" fontId="43" fillId="29" borderId="6" xfId="0" applyFont="1" applyFill="1" applyBorder="1" applyAlignment="1">
      <alignment vertical="center" wrapText="1"/>
    </xf>
    <xf numFmtId="0" fontId="26" fillId="29" borderId="2" xfId="2" applyFont="1" applyFill="1" applyBorder="1" applyAlignment="1">
      <alignment horizontal="center"/>
    </xf>
    <xf numFmtId="0" fontId="29" fillId="0" borderId="0" xfId="2" applyFont="1" applyAlignment="1">
      <alignment horizontal="left"/>
    </xf>
    <xf numFmtId="0" fontId="34" fillId="0" borderId="0" xfId="5" applyFont="1" applyAlignment="1">
      <alignment horizontal="center" vertical="center"/>
    </xf>
    <xf numFmtId="0" fontId="33" fillId="0" borderId="0" xfId="5" applyFont="1" applyBorder="1" applyAlignment="1">
      <alignment horizontal="center" vertical="center"/>
    </xf>
  </cellXfs>
  <cellStyles count="11">
    <cellStyle name="Euro" xfId="6"/>
    <cellStyle name="Milliers" xfId="10" builtinId="3"/>
    <cellStyle name="Milliers 2" xfId="3"/>
    <cellStyle name="Milliers 3" xfId="8"/>
    <cellStyle name="Monétaire 2" xfId="9"/>
    <cellStyle name="Normal" xfId="0" builtinId="0"/>
    <cellStyle name="Normal 2" xfId="2"/>
    <cellStyle name="Normal 3" xfId="5"/>
    <cellStyle name="Pourcentage" xfId="1" builtinId="5"/>
    <cellStyle name="Pourcentage 2" xfId="4"/>
    <cellStyle name="Pourcentage 3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6633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8CCE4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6666FF"/>
      <rgbColor rgb="0066FF99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4D76B"/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fr-FR" sz="1600" b="1" i="0" baseline="0">
                <a:effectLst/>
              </a:rPr>
              <a:t>Menthly solar energy contribution </a:t>
            </a:r>
            <a:endParaRPr lang="fr-FR" sz="1600">
              <a:effectLst/>
            </a:endParaRPr>
          </a:p>
        </c:rich>
      </c:tx>
      <c:layout>
        <c:manualLayout>
          <c:xMode val="edge"/>
          <c:yMode val="edge"/>
          <c:x val="0.1836409593237982"/>
          <c:y val="4.012903587696718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'Calcul-Tech'!$A$32</c:f>
              <c:strCache>
                <c:ptCount val="1"/>
                <c:pt idx="0">
                  <c:v>Solaire Thermique utile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val>
            <c:numRef>
              <c:f>'Calcul-Tech'!$D$32:$O$32</c:f>
              <c:numCache>
                <c:formatCode>0</c:formatCode>
                <c:ptCount val="12"/>
                <c:pt idx="0">
                  <c:v>87.752100626477471</c:v>
                </c:pt>
                <c:pt idx="1">
                  <c:v>945.72099983692829</c:v>
                </c:pt>
                <c:pt idx="2">
                  <c:v>1164.2095117866245</c:v>
                </c:pt>
                <c:pt idx="3">
                  <c:v>1539.2692204128002</c:v>
                </c:pt>
                <c:pt idx="4">
                  <c:v>1869.3990604990083</c:v>
                </c:pt>
                <c:pt idx="5">
                  <c:v>1596.5023617388806</c:v>
                </c:pt>
                <c:pt idx="6">
                  <c:v>417.01674483685179</c:v>
                </c:pt>
                <c:pt idx="7">
                  <c:v>1811.4568585908485</c:v>
                </c:pt>
                <c:pt idx="8">
                  <c:v>1389.8945814969604</c:v>
                </c:pt>
                <c:pt idx="9">
                  <c:v>1011.7651057280644</c:v>
                </c:pt>
                <c:pt idx="10">
                  <c:v>681.81795474048022</c:v>
                </c:pt>
                <c:pt idx="11">
                  <c:v>554.08834868313613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F9-4BE8-BCFC-BF5D50A75FB2}"/>
            </c:ext>
          </c:extLst>
        </c:ser>
        <c:ser>
          <c:idx val="1"/>
          <c:order val="1"/>
          <c:tx>
            <c:strRef>
              <c:f>'Calcul-Tech'!$A$33</c:f>
              <c:strCache>
                <c:ptCount val="1"/>
                <c:pt idx="0">
                  <c:v>Energie appoint (gaz ou autre)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val>
            <c:numRef>
              <c:f>'Calcul-Tech'!$D$33:$O$33</c:f>
              <c:numCache>
                <c:formatCode>0</c:formatCode>
                <c:ptCount val="12"/>
                <c:pt idx="0">
                  <c:v>1511.7124709789355</c:v>
                </c:pt>
                <c:pt idx="1">
                  <c:v>1738.0316069675948</c:v>
                </c:pt>
                <c:pt idx="2">
                  <c:v>1689.3072060616264</c:v>
                </c:pt>
                <c:pt idx="3">
                  <c:v>997.50093547632412</c:v>
                </c:pt>
                <c:pt idx="4">
                  <c:v>602.24691502333542</c:v>
                </c:pt>
                <c:pt idx="5">
                  <c:v>784.03502023168687</c:v>
                </c:pt>
                <c:pt idx="6">
                  <c:v>891.79926887583861</c:v>
                </c:pt>
                <c:pt idx="7">
                  <c:v>542.06933628867728</c:v>
                </c:pt>
                <c:pt idx="8">
                  <c:v>1067.0876791631176</c:v>
                </c:pt>
                <c:pt idx="9">
                  <c:v>1823.7248981758075</c:v>
                </c:pt>
                <c:pt idx="10">
                  <c:v>2248.7411927032172</c:v>
                </c:pt>
                <c:pt idx="11">
                  <c:v>2599.6043436994528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4F9-4BE8-BCFC-BF5D50A75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7790720"/>
        <c:axId val="167791112"/>
      </c:barChart>
      <c:catAx>
        <c:axId val="167790720"/>
        <c:scaling>
          <c:orientation val="minMax"/>
        </c:scaling>
        <c:delete val="0"/>
        <c:axPos val="b"/>
        <c:majorTickMark val="out"/>
        <c:minorTickMark val="none"/>
        <c:tickLblPos val="nextTo"/>
        <c:crossAx val="167791112"/>
        <c:crosses val="autoZero"/>
        <c:auto val="1"/>
        <c:lblAlgn val="ctr"/>
        <c:lblOffset val="100"/>
        <c:noMultiLvlLbl val="0"/>
      </c:catAx>
      <c:valAx>
        <c:axId val="1677911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  Energie</a:t>
                </a:r>
                <a:r>
                  <a:rPr lang="fr-FR" baseline="0"/>
                  <a:t> de chauffe  </a:t>
                </a:r>
                <a:r>
                  <a:rPr lang="fr-FR"/>
                  <a:t>kWh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1677907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600" b="1" i="0" baseline="0">
                <a:effectLst/>
              </a:rPr>
              <a:t>Monthly solar energy coverage rate </a:t>
            </a:r>
            <a:endParaRPr lang="fr-FR" sz="1600">
              <a:effectLst/>
            </a:endParaRPr>
          </a:p>
        </c:rich>
      </c:tx>
      <c:layout>
        <c:manualLayout>
          <c:xMode val="edge"/>
          <c:yMode val="edge"/>
          <c:x val="0.18253987014624309"/>
          <c:y val="3.047620861532123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'Calcul-Tech'!$A$35</c:f>
              <c:strCache>
                <c:ptCount val="1"/>
                <c:pt idx="0">
                  <c:v>Taux  de couverture par mois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val>
            <c:numRef>
              <c:f>'Calcul-Tech'!$D$35:$O$35</c:f>
              <c:numCache>
                <c:formatCode>0%</c:formatCode>
                <c:ptCount val="12"/>
                <c:pt idx="0">
                  <c:v>7.3667478379354875E-2</c:v>
                </c:pt>
                <c:pt idx="1">
                  <c:v>0.42708601659390588</c:v>
                </c:pt>
                <c:pt idx="2">
                  <c:v>0.4856375917325782</c:v>
                </c:pt>
                <c:pt idx="3">
                  <c:v>0.67887808320000009</c:v>
                </c:pt>
                <c:pt idx="4">
                  <c:v>0.8096157757270589</c:v>
                </c:pt>
                <c:pt idx="5">
                  <c:v>0.73612560375272762</c:v>
                </c:pt>
                <c:pt idx="6">
                  <c:v>0.39047787093439223</c:v>
                </c:pt>
                <c:pt idx="7">
                  <c:v>0.82073034954830792</c:v>
                </c:pt>
                <c:pt idx="8">
                  <c:v>0.64086155616000029</c:v>
                </c:pt>
                <c:pt idx="9">
                  <c:v>0.4318336300800002</c:v>
                </c:pt>
                <c:pt idx="10">
                  <c:v>0.29347783967864222</c:v>
                </c:pt>
                <c:pt idx="11">
                  <c:v>0.22601001025595571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A6-4DBA-A20C-891EEA021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791896"/>
        <c:axId val="167792288"/>
      </c:barChart>
      <c:catAx>
        <c:axId val="167791896"/>
        <c:scaling>
          <c:orientation val="minMax"/>
        </c:scaling>
        <c:delete val="0"/>
        <c:axPos val="b"/>
        <c:majorTickMark val="out"/>
        <c:minorTickMark val="none"/>
        <c:tickLblPos val="nextTo"/>
        <c:crossAx val="167792288"/>
        <c:crosses val="autoZero"/>
        <c:auto val="1"/>
        <c:lblAlgn val="ctr"/>
        <c:lblOffset val="100"/>
        <c:noMultiLvlLbl val="0"/>
      </c:catAx>
      <c:valAx>
        <c:axId val="16779228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67791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Besoin</a:t>
            </a:r>
            <a:r>
              <a:rPr lang="fr-FR" sz="1200" baseline="0"/>
              <a:t> mensuel d'eau chaude (Litre)</a:t>
            </a:r>
            <a:endParaRPr lang="fr-FR" sz="1200"/>
          </a:p>
        </c:rich>
      </c:tx>
      <c:layout>
        <c:manualLayout>
          <c:xMode val="edge"/>
          <c:yMode val="edge"/>
          <c:x val="0.22765496031746033"/>
          <c:y val="5.448214293269697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'Calcul-Tech'!$D$21:$O$21</c:f>
              <c:numCache>
                <c:formatCode>General</c:formatCode>
                <c:ptCount val="12"/>
                <c:pt idx="0">
                  <c:v>14130</c:v>
                </c:pt>
                <c:pt idx="1">
                  <c:v>26376</c:v>
                </c:pt>
                <c:pt idx="2">
                  <c:v>29202</c:v>
                </c:pt>
                <c:pt idx="3">
                  <c:v>28260</c:v>
                </c:pt>
                <c:pt idx="4">
                  <c:v>29202</c:v>
                </c:pt>
                <c:pt idx="5">
                  <c:v>28260</c:v>
                </c:pt>
                <c:pt idx="6">
                  <c:v>14130</c:v>
                </c:pt>
                <c:pt idx="7">
                  <c:v>29202</c:v>
                </c:pt>
                <c:pt idx="8">
                  <c:v>28260</c:v>
                </c:pt>
                <c:pt idx="9">
                  <c:v>29202</c:v>
                </c:pt>
                <c:pt idx="10">
                  <c:v>28260</c:v>
                </c:pt>
                <c:pt idx="11">
                  <c:v>29202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30-4A95-9D03-3F37D37D0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708496"/>
        <c:axId val="169708888"/>
      </c:barChart>
      <c:catAx>
        <c:axId val="169708496"/>
        <c:scaling>
          <c:orientation val="minMax"/>
        </c:scaling>
        <c:delete val="0"/>
        <c:axPos val="b"/>
        <c:majorTickMark val="none"/>
        <c:minorTickMark val="none"/>
        <c:tickLblPos val="nextTo"/>
        <c:crossAx val="169708888"/>
        <c:crosses val="autoZero"/>
        <c:auto val="1"/>
        <c:lblAlgn val="ctr"/>
        <c:lblOffset val="100"/>
        <c:noMultiLvlLbl val="0"/>
      </c:catAx>
      <c:valAx>
        <c:axId val="169708888"/>
        <c:scaling>
          <c:orientation val="minMax"/>
          <c:max val="1000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169708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800" b="1" i="0" baseline="0">
                <a:effectLst/>
              </a:rPr>
              <a:t>Energy saving (€) /  Year  </a:t>
            </a:r>
            <a:endParaRPr lang="fr-FR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</c:spPr>
          <c:invertIfNegative val="0"/>
          <c:val>
            <c:numRef>
              <c:f>'Calcul -financement'!$D$15:$W$15</c:f>
              <c:numCache>
                <c:formatCode>_-* #\ ##0\ _€_-;\-* #\ ##0\ _€_-;_-* "-"??\ _€_-;_-@_-</c:formatCode>
                <c:ptCount val="20"/>
                <c:pt idx="0">
                  <c:v>1381.8946019184987</c:v>
                </c:pt>
                <c:pt idx="1">
                  <c:v>1487.6904011721235</c:v>
                </c:pt>
                <c:pt idx="2">
                  <c:v>1596.6600744033558</c:v>
                </c:pt>
                <c:pt idx="3">
                  <c:v>1708.8988378315262</c:v>
                </c:pt>
                <c:pt idx="4">
                  <c:v>1824.5047641625406</c:v>
                </c:pt>
                <c:pt idx="5">
                  <c:v>1743.5788682834864</c:v>
                </c:pt>
                <c:pt idx="6">
                  <c:v>1860.2251955280599</c:v>
                </c:pt>
                <c:pt idx="7">
                  <c:v>1980.3709125899695</c:v>
                </c:pt>
                <c:pt idx="8">
                  <c:v>2104.1210011637377</c:v>
                </c:pt>
                <c:pt idx="9">
                  <c:v>2231.5835923947188</c:v>
                </c:pt>
                <c:pt idx="10">
                  <c:v>4507.502101231592</c:v>
                </c:pt>
                <c:pt idx="11">
                  <c:v>4642.7271642685409</c:v>
                </c:pt>
                <c:pt idx="12">
                  <c:v>4782.0089791965966</c:v>
                </c:pt>
                <c:pt idx="13">
                  <c:v>4925.4692485724936</c:v>
                </c:pt>
                <c:pt idx="14">
                  <c:v>5073.2333260296691</c:v>
                </c:pt>
                <c:pt idx="15">
                  <c:v>5225.4303258105583</c:v>
                </c:pt>
                <c:pt idx="16">
                  <c:v>5382.1932355848749</c:v>
                </c:pt>
                <c:pt idx="17">
                  <c:v>5543.659032652422</c:v>
                </c:pt>
                <c:pt idx="18">
                  <c:v>5709.968803631994</c:v>
                </c:pt>
                <c:pt idx="19">
                  <c:v>5881.267867740954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13-495E-B900-C28E00676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709672"/>
        <c:axId val="169710064"/>
      </c:barChart>
      <c:catAx>
        <c:axId val="169709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 sz="1200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69710064"/>
        <c:crosses val="autoZero"/>
        <c:auto val="1"/>
        <c:lblAlgn val="ctr"/>
        <c:lblOffset val="100"/>
        <c:noMultiLvlLbl val="0"/>
      </c:catAx>
      <c:valAx>
        <c:axId val="1697100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 sz="1200"/>
                  <a:t>Saving  € HT / Year</a:t>
                </a:r>
              </a:p>
            </c:rich>
          </c:tx>
          <c:layout/>
          <c:overlay val="0"/>
        </c:title>
        <c:numFmt formatCode="_-* #\ ##0\ _€_-;\-* #\ ##0\ _€_-;_-* &quot;-&quot;??\ _€_-;_-@_-" sourceLinked="1"/>
        <c:majorTickMark val="out"/>
        <c:minorTickMark val="none"/>
        <c:tickLblPos val="nextTo"/>
        <c:crossAx val="169709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'Calcul -financement'!$D$15:$W$15</c:f>
              <c:numCache>
                <c:formatCode>_-* #\ ##0\ _€_-;\-* #\ ##0\ _€_-;_-* "-"??\ _€_-;_-@_-</c:formatCode>
                <c:ptCount val="20"/>
                <c:pt idx="0">
                  <c:v>1381.8946019184987</c:v>
                </c:pt>
                <c:pt idx="1">
                  <c:v>1487.6904011721235</c:v>
                </c:pt>
                <c:pt idx="2">
                  <c:v>1596.6600744033558</c:v>
                </c:pt>
                <c:pt idx="3">
                  <c:v>1708.8988378315262</c:v>
                </c:pt>
                <c:pt idx="4">
                  <c:v>1824.5047641625406</c:v>
                </c:pt>
                <c:pt idx="5">
                  <c:v>1743.5788682834864</c:v>
                </c:pt>
                <c:pt idx="6">
                  <c:v>1860.2251955280599</c:v>
                </c:pt>
                <c:pt idx="7">
                  <c:v>1980.3709125899695</c:v>
                </c:pt>
                <c:pt idx="8">
                  <c:v>2104.1210011637377</c:v>
                </c:pt>
                <c:pt idx="9">
                  <c:v>2231.5835923947188</c:v>
                </c:pt>
                <c:pt idx="10">
                  <c:v>4507.502101231592</c:v>
                </c:pt>
                <c:pt idx="11">
                  <c:v>4642.7271642685409</c:v>
                </c:pt>
                <c:pt idx="12">
                  <c:v>4782.0089791965966</c:v>
                </c:pt>
                <c:pt idx="13">
                  <c:v>4925.4692485724936</c:v>
                </c:pt>
                <c:pt idx="14">
                  <c:v>5073.2333260296691</c:v>
                </c:pt>
                <c:pt idx="15">
                  <c:v>5225.4303258105583</c:v>
                </c:pt>
                <c:pt idx="16">
                  <c:v>5382.1932355848749</c:v>
                </c:pt>
                <c:pt idx="17">
                  <c:v>5543.659032652422</c:v>
                </c:pt>
                <c:pt idx="18">
                  <c:v>5709.968803631994</c:v>
                </c:pt>
                <c:pt idx="19">
                  <c:v>5881.267867740954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09-4982-BA73-367FA241A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877640"/>
        <c:axId val="169878032"/>
      </c:barChart>
      <c:catAx>
        <c:axId val="169877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9878032"/>
        <c:crosses val="autoZero"/>
        <c:auto val="1"/>
        <c:lblAlgn val="ctr"/>
        <c:lblOffset val="100"/>
        <c:noMultiLvlLbl val="0"/>
      </c:catAx>
      <c:valAx>
        <c:axId val="169878032"/>
        <c:scaling>
          <c:orientation val="minMax"/>
        </c:scaling>
        <c:delete val="0"/>
        <c:axPos val="l"/>
        <c:majorGridlines/>
        <c:numFmt formatCode="_-* #\ ##0\ _€_-;\-* #\ ##0\ _€_-;_-* &quot;-&quot;??\ _€_-;_-@_-" sourceLinked="1"/>
        <c:majorTickMark val="out"/>
        <c:minorTickMark val="none"/>
        <c:tickLblPos val="nextTo"/>
        <c:crossAx val="169877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77848331690507"/>
          <c:y val="0.11885981977450326"/>
          <c:w val="0.74814734136501304"/>
          <c:h val="0.82507951167272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'calcul-ROIC'!$P$2</c:f>
              <c:strCache>
                <c:ptCount val="1"/>
                <c:pt idx="0">
                  <c:v>ROI 1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'calcul-ROIC'!$O$3:$O$23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'calcul-ROIC'!$P$3:$P$23</c:f>
              <c:numCache>
                <c:formatCode>0.00</c:formatCode>
                <c:ptCount val="21"/>
                <c:pt idx="0">
                  <c:v>-20200</c:v>
                </c:pt>
                <c:pt idx="1">
                  <c:v>-16673.473358212537</c:v>
                </c:pt>
                <c:pt idx="2">
                  <c:v>-13111.681450007203</c:v>
                </c:pt>
                <c:pt idx="3">
                  <c:v>-9514.2716227198143</c:v>
                </c:pt>
                <c:pt idx="4">
                  <c:v>-5880.887697159551</c:v>
                </c:pt>
                <c:pt idx="5">
                  <c:v>-2211.1699323436842</c:v>
                </c:pt>
                <c:pt idx="6">
                  <c:v>1495.2450101203394</c:v>
                </c:pt>
                <c:pt idx="7">
                  <c:v>5238.7241020090041</c:v>
                </c:pt>
                <c:pt idx="8">
                  <c:v>9019.6379848165561</c:v>
                </c:pt>
                <c:pt idx="9">
                  <c:v>12838.361006452185</c:v>
                </c:pt>
                <c:pt idx="10">
                  <c:v>16695.271258304172</c:v>
                </c:pt>
                <c:pt idx="11">
                  <c:v>20590.750612674674</c:v>
                </c:pt>
                <c:pt idx="12">
                  <c:v>24525.184760588883</c:v>
                </c:pt>
                <c:pt idx="13">
                  <c:v>28498.963249982233</c:v>
                </c:pt>
                <c:pt idx="14">
                  <c:v>32512.479524269518</c:v>
                </c:pt>
                <c:pt idx="15">
                  <c:v>36566.130961299677</c:v>
                </c:pt>
                <c:pt idx="16">
                  <c:v>40660.318912700139</c:v>
                </c:pt>
                <c:pt idx="17">
                  <c:v>44795.448743614601</c:v>
                </c:pt>
                <c:pt idx="18">
                  <c:v>48971.929872838213</c:v>
                </c:pt>
                <c:pt idx="19">
                  <c:v>53190.175813354057</c:v>
                </c:pt>
                <c:pt idx="20">
                  <c:v>57450.604213275059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18D-4467-BE08-5EABF41C394A}"/>
            </c:ext>
          </c:extLst>
        </c:ser>
        <c:ser>
          <c:idx val="1"/>
          <c:order val="1"/>
          <c:tx>
            <c:strRef>
              <c:f>'calcul-ROIC'!$Q$2</c:f>
              <c:strCache>
                <c:ptCount val="1"/>
                <c:pt idx="0">
                  <c:v>ROI 2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'calcul-ROIC'!$O$3:$O$23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'calcul-ROIC'!$Q$3:$Q$23</c:f>
              <c:numCache>
                <c:formatCode>0.00</c:formatCode>
                <c:ptCount val="21"/>
                <c:pt idx="0">
                  <c:v>-20200</c:v>
                </c:pt>
                <c:pt idx="1">
                  <c:v>-16673.473358212537</c:v>
                </c:pt>
                <c:pt idx="2">
                  <c:v>-13041.150917171453</c:v>
                </c:pt>
                <c:pt idx="3">
                  <c:v>-9299.8588028991362</c:v>
                </c:pt>
                <c:pt idx="4">
                  <c:v>-5446.3279251986496</c:v>
                </c:pt>
                <c:pt idx="5">
                  <c:v>-1477.1911211671468</c:v>
                </c:pt>
                <c:pt idx="6">
                  <c:v>2611.0197869853</c:v>
                </c:pt>
                <c:pt idx="7">
                  <c:v>6821.877022382323</c:v>
                </c:pt>
                <c:pt idx="8">
                  <c:v>11159.059974841257</c:v>
                </c:pt>
                <c:pt idx="9">
                  <c:v>15626.358415873954</c:v>
                </c:pt>
                <c:pt idx="10">
                  <c:v>20227.675810137633</c:v>
                </c:pt>
                <c:pt idx="11">
                  <c:v>24967.032726229227</c:v>
                </c:pt>
                <c:pt idx="12">
                  <c:v>29848.570349803565</c:v>
                </c:pt>
                <c:pt idx="13">
                  <c:v>34876.554102085138</c:v>
                </c:pt>
                <c:pt idx="14">
                  <c:v>40055.377366935158</c:v>
                </c:pt>
                <c:pt idx="15">
                  <c:v>45389.565329730671</c:v>
                </c:pt>
                <c:pt idx="16">
                  <c:v>50883.778931410052</c:v>
                </c:pt>
                <c:pt idx="17">
                  <c:v>56542.81894113982</c:v>
                </c:pt>
                <c:pt idx="18">
                  <c:v>62371.630151161473</c:v>
                </c:pt>
                <c:pt idx="19">
                  <c:v>68375.305697483782</c:v>
                </c:pt>
                <c:pt idx="20">
                  <c:v>74559.091510195765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18D-4467-BE08-5EABF41C394A}"/>
            </c:ext>
          </c:extLst>
        </c:ser>
        <c:ser>
          <c:idx val="2"/>
          <c:order val="2"/>
          <c:tx>
            <c:strRef>
              <c:f>'calcul-ROIC'!$R$2</c:f>
              <c:strCache>
                <c:ptCount val="1"/>
                <c:pt idx="0">
                  <c:v>ROI 3</c:v>
                </c:pt>
              </c:strCache>
            </c:strRef>
          </c:tx>
          <c:spPr>
            <a:ln>
              <a:solidFill>
                <a:srgbClr val="A9E63A"/>
              </a:solidFill>
            </a:ln>
          </c:spPr>
          <c:marker>
            <c:symbol val="none"/>
          </c:marker>
          <c:xVal>
            <c:numRef>
              <c:f>'calcul-ROIC'!$O$3:$O$23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'calcul-ROIC'!$R$3:$R$23</c:f>
              <c:numCache>
                <c:formatCode>0.00</c:formatCode>
                <c:ptCount val="21"/>
                <c:pt idx="0">
                  <c:v>-20200</c:v>
                </c:pt>
                <c:pt idx="1">
                  <c:v>-16673.473358212537</c:v>
                </c:pt>
                <c:pt idx="2">
                  <c:v>-12970.620384335703</c:v>
                </c:pt>
                <c:pt idx="3">
                  <c:v>-9082.6247617650261</c:v>
                </c:pt>
                <c:pt idx="4">
                  <c:v>-5000.2293580658152</c:v>
                </c:pt>
                <c:pt idx="5">
                  <c:v>-713.71418418164467</c:v>
                </c:pt>
                <c:pt idx="6">
                  <c:v>3787.1267483967349</c:v>
                </c:pt>
                <c:pt idx="7">
                  <c:v>8513.0097276040324</c:v>
                </c:pt>
                <c:pt idx="8">
                  <c:v>13475.186855771695</c:v>
                </c:pt>
                <c:pt idx="9">
                  <c:v>18685.472840347742</c:v>
                </c:pt>
                <c:pt idx="10">
                  <c:v>24156.273124152591</c:v>
                </c:pt>
                <c:pt idx="11">
                  <c:v>29900.613422147682</c:v>
                </c:pt>
                <c:pt idx="12">
                  <c:v>35932.170735042528</c:v>
                </c:pt>
                <c:pt idx="13">
                  <c:v>42265.305913582117</c:v>
                </c:pt>
                <c:pt idx="14">
                  <c:v>48915.097851048689</c:v>
                </c:pt>
                <c:pt idx="15">
                  <c:v>55897.379385388587</c:v>
                </c:pt>
                <c:pt idx="16">
                  <c:v>63228.774996445485</c:v>
                </c:pt>
                <c:pt idx="17">
                  <c:v>70926.74038805523</c:v>
                </c:pt>
                <c:pt idx="18">
                  <c:v>79009.604049245463</c:v>
                </c:pt>
                <c:pt idx="19">
                  <c:v>87496.610893495206</c:v>
                </c:pt>
                <c:pt idx="20">
                  <c:v>96407.968079957427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18D-4467-BE08-5EABF41C3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878816"/>
        <c:axId val="169879208"/>
      </c:scatterChart>
      <c:valAx>
        <c:axId val="169878816"/>
        <c:scaling>
          <c:orientation val="minMax"/>
          <c:max val="2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>
                    <a:solidFill>
                      <a:schemeClr val="bg1">
                        <a:lumMod val="50000"/>
                      </a:schemeClr>
                    </a:solidFill>
                  </a:defRPr>
                </a:pPr>
                <a:r>
                  <a:rPr lang="fr-FR" b="0">
                    <a:solidFill>
                      <a:schemeClr val="bg1">
                        <a:lumMod val="50000"/>
                      </a:schemeClr>
                    </a:solidFill>
                  </a:rPr>
                  <a:t>Années</a:t>
                </a:r>
              </a:p>
            </c:rich>
          </c:tx>
          <c:layout>
            <c:manualLayout>
              <c:xMode val="edge"/>
              <c:yMode val="edge"/>
              <c:x val="0.90294310893257546"/>
              <c:y val="0.79762017311581412"/>
            </c:manualLayout>
          </c:layout>
          <c:overlay val="0"/>
        </c:title>
        <c:numFmt formatCode="General" sourceLinked="1"/>
        <c:majorTickMark val="cross"/>
        <c:minorTickMark val="cross"/>
        <c:tickLblPos val="nextTo"/>
        <c:spPr>
          <a:ln>
            <a:solidFill>
              <a:schemeClr val="tx1">
                <a:lumMod val="50000"/>
                <a:lumOff val="50000"/>
              </a:schemeClr>
            </a:solidFill>
          </a:ln>
        </c:spPr>
        <c:txPr>
          <a:bodyPr/>
          <a:lstStyle/>
          <a:p>
            <a:pPr>
              <a:defRPr>
                <a:solidFill>
                  <a:schemeClr val="bg1">
                    <a:lumMod val="50000"/>
                  </a:schemeClr>
                </a:solidFill>
              </a:defRPr>
            </a:pPr>
            <a:endParaRPr lang="fr-FR"/>
          </a:p>
        </c:txPr>
        <c:crossAx val="169879208"/>
        <c:crosses val="autoZero"/>
        <c:crossBetween val="midCat"/>
      </c:valAx>
      <c:valAx>
        <c:axId val="1698792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\ &quot;€&quot;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>
                    <a:lumMod val="50000"/>
                  </a:schemeClr>
                </a:solidFill>
              </a:defRPr>
            </a:pPr>
            <a:endParaRPr lang="fr-FR"/>
          </a:p>
        </c:txPr>
        <c:crossAx val="169878816"/>
        <c:crosses val="autoZero"/>
        <c:crossBetween val="midCat"/>
      </c:valAx>
      <c:spPr>
        <a:noFill/>
      </c:spPr>
    </c:plotArea>
    <c:plotVisOnly val="0"/>
    <c:dispBlanksAs val="gap"/>
    <c:showDLblsOverMax val="0"/>
  </c:chart>
  <c:spPr>
    <a:gradFill flip="none" rotWithShape="1">
      <a:gsLst>
        <a:gs pos="0">
          <a:sysClr val="window" lastClr="FFFFFF"/>
        </a:gs>
        <a:gs pos="100000">
          <a:srgbClr val="FFFFCC"/>
        </a:gs>
      </a:gsLst>
      <a:path path="circle">
        <a:fillToRect l="50000" t="50000" r="50000" b="50000"/>
      </a:path>
      <a:tileRect/>
    </a:gradFill>
  </c:sp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77848331690507"/>
          <c:y val="0.11885981977450326"/>
          <c:w val="0.74814734136501304"/>
          <c:h val="0.82507951167272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'calcul-ROIC'!$P$2</c:f>
              <c:strCache>
                <c:ptCount val="1"/>
                <c:pt idx="0">
                  <c:v>ROI 1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'calcul-ROIC'!$O$3:$O$23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'calcul-ROIC'!$P$3:$P$23</c:f>
              <c:numCache>
                <c:formatCode>0.00</c:formatCode>
                <c:ptCount val="21"/>
                <c:pt idx="0">
                  <c:v>-20200</c:v>
                </c:pt>
                <c:pt idx="1">
                  <c:v>-16673.473358212537</c:v>
                </c:pt>
                <c:pt idx="2">
                  <c:v>-13111.681450007203</c:v>
                </c:pt>
                <c:pt idx="3">
                  <c:v>-9514.2716227198143</c:v>
                </c:pt>
                <c:pt idx="4">
                  <c:v>-5880.887697159551</c:v>
                </c:pt>
                <c:pt idx="5">
                  <c:v>-2211.1699323436842</c:v>
                </c:pt>
                <c:pt idx="6">
                  <c:v>1495.2450101203394</c:v>
                </c:pt>
                <c:pt idx="7">
                  <c:v>5238.7241020090041</c:v>
                </c:pt>
                <c:pt idx="8">
                  <c:v>9019.6379848165561</c:v>
                </c:pt>
                <c:pt idx="9">
                  <c:v>12838.361006452185</c:v>
                </c:pt>
                <c:pt idx="10">
                  <c:v>16695.271258304172</c:v>
                </c:pt>
                <c:pt idx="11">
                  <c:v>20590.750612674674</c:v>
                </c:pt>
                <c:pt idx="12">
                  <c:v>24525.184760588883</c:v>
                </c:pt>
                <c:pt idx="13">
                  <c:v>28498.963249982233</c:v>
                </c:pt>
                <c:pt idx="14">
                  <c:v>32512.479524269518</c:v>
                </c:pt>
                <c:pt idx="15">
                  <c:v>36566.130961299677</c:v>
                </c:pt>
                <c:pt idx="16">
                  <c:v>40660.318912700139</c:v>
                </c:pt>
                <c:pt idx="17">
                  <c:v>44795.448743614601</c:v>
                </c:pt>
                <c:pt idx="18">
                  <c:v>48971.929872838213</c:v>
                </c:pt>
                <c:pt idx="19">
                  <c:v>53190.175813354057</c:v>
                </c:pt>
                <c:pt idx="20">
                  <c:v>57450.604213275059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18D-4467-BE08-5EABF41C394A}"/>
            </c:ext>
          </c:extLst>
        </c:ser>
        <c:ser>
          <c:idx val="1"/>
          <c:order val="1"/>
          <c:tx>
            <c:strRef>
              <c:f>'calcul-ROIC'!$Q$2</c:f>
              <c:strCache>
                <c:ptCount val="1"/>
                <c:pt idx="0">
                  <c:v>ROI 2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'calcul-ROIC'!$O$3:$O$23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'calcul-ROIC'!$Q$3:$Q$23</c:f>
              <c:numCache>
                <c:formatCode>0.00</c:formatCode>
                <c:ptCount val="21"/>
                <c:pt idx="0">
                  <c:v>-20200</c:v>
                </c:pt>
                <c:pt idx="1">
                  <c:v>-16673.473358212537</c:v>
                </c:pt>
                <c:pt idx="2">
                  <c:v>-13041.150917171453</c:v>
                </c:pt>
                <c:pt idx="3">
                  <c:v>-9299.8588028991362</c:v>
                </c:pt>
                <c:pt idx="4">
                  <c:v>-5446.3279251986496</c:v>
                </c:pt>
                <c:pt idx="5">
                  <c:v>-1477.1911211671468</c:v>
                </c:pt>
                <c:pt idx="6">
                  <c:v>2611.0197869853</c:v>
                </c:pt>
                <c:pt idx="7">
                  <c:v>6821.877022382323</c:v>
                </c:pt>
                <c:pt idx="8">
                  <c:v>11159.059974841257</c:v>
                </c:pt>
                <c:pt idx="9">
                  <c:v>15626.358415873954</c:v>
                </c:pt>
                <c:pt idx="10">
                  <c:v>20227.675810137633</c:v>
                </c:pt>
                <c:pt idx="11">
                  <c:v>24967.032726229227</c:v>
                </c:pt>
                <c:pt idx="12">
                  <c:v>29848.570349803565</c:v>
                </c:pt>
                <c:pt idx="13">
                  <c:v>34876.554102085138</c:v>
                </c:pt>
                <c:pt idx="14">
                  <c:v>40055.377366935158</c:v>
                </c:pt>
                <c:pt idx="15">
                  <c:v>45389.565329730671</c:v>
                </c:pt>
                <c:pt idx="16">
                  <c:v>50883.778931410052</c:v>
                </c:pt>
                <c:pt idx="17">
                  <c:v>56542.81894113982</c:v>
                </c:pt>
                <c:pt idx="18">
                  <c:v>62371.630151161473</c:v>
                </c:pt>
                <c:pt idx="19">
                  <c:v>68375.305697483782</c:v>
                </c:pt>
                <c:pt idx="20">
                  <c:v>74559.091510195765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18D-4467-BE08-5EABF41C394A}"/>
            </c:ext>
          </c:extLst>
        </c:ser>
        <c:ser>
          <c:idx val="2"/>
          <c:order val="2"/>
          <c:tx>
            <c:strRef>
              <c:f>'calcul-ROIC'!$R$2</c:f>
              <c:strCache>
                <c:ptCount val="1"/>
                <c:pt idx="0">
                  <c:v>ROI 3</c:v>
                </c:pt>
              </c:strCache>
            </c:strRef>
          </c:tx>
          <c:spPr>
            <a:ln>
              <a:solidFill>
                <a:srgbClr val="A9E63A"/>
              </a:solidFill>
            </a:ln>
          </c:spPr>
          <c:marker>
            <c:symbol val="none"/>
          </c:marker>
          <c:xVal>
            <c:numRef>
              <c:f>'calcul-ROIC'!$O$3:$O$23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'calcul-ROIC'!$R$3:$R$23</c:f>
              <c:numCache>
                <c:formatCode>0.00</c:formatCode>
                <c:ptCount val="21"/>
                <c:pt idx="0">
                  <c:v>-20200</c:v>
                </c:pt>
                <c:pt idx="1">
                  <c:v>-16673.473358212537</c:v>
                </c:pt>
                <c:pt idx="2">
                  <c:v>-12970.620384335703</c:v>
                </c:pt>
                <c:pt idx="3">
                  <c:v>-9082.6247617650261</c:v>
                </c:pt>
                <c:pt idx="4">
                  <c:v>-5000.2293580658152</c:v>
                </c:pt>
                <c:pt idx="5">
                  <c:v>-713.71418418164467</c:v>
                </c:pt>
                <c:pt idx="6">
                  <c:v>3787.1267483967349</c:v>
                </c:pt>
                <c:pt idx="7">
                  <c:v>8513.0097276040324</c:v>
                </c:pt>
                <c:pt idx="8">
                  <c:v>13475.186855771695</c:v>
                </c:pt>
                <c:pt idx="9">
                  <c:v>18685.472840347742</c:v>
                </c:pt>
                <c:pt idx="10">
                  <c:v>24156.273124152591</c:v>
                </c:pt>
                <c:pt idx="11">
                  <c:v>29900.613422147682</c:v>
                </c:pt>
                <c:pt idx="12">
                  <c:v>35932.170735042528</c:v>
                </c:pt>
                <c:pt idx="13">
                  <c:v>42265.305913582117</c:v>
                </c:pt>
                <c:pt idx="14">
                  <c:v>48915.097851048689</c:v>
                </c:pt>
                <c:pt idx="15">
                  <c:v>55897.379385388587</c:v>
                </c:pt>
                <c:pt idx="16">
                  <c:v>63228.774996445485</c:v>
                </c:pt>
                <c:pt idx="17">
                  <c:v>70926.74038805523</c:v>
                </c:pt>
                <c:pt idx="18">
                  <c:v>79009.604049245463</c:v>
                </c:pt>
                <c:pt idx="19">
                  <c:v>87496.610893495206</c:v>
                </c:pt>
                <c:pt idx="20">
                  <c:v>96407.968079957427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18D-4467-BE08-5EABF41C3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712024"/>
        <c:axId val="169711632"/>
      </c:scatterChart>
      <c:valAx>
        <c:axId val="169712024"/>
        <c:scaling>
          <c:orientation val="minMax"/>
          <c:max val="2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>
                    <a:solidFill>
                      <a:schemeClr val="bg1">
                        <a:lumMod val="50000"/>
                      </a:schemeClr>
                    </a:solidFill>
                  </a:defRPr>
                </a:pPr>
                <a:r>
                  <a:rPr lang="fr-FR" b="0">
                    <a:solidFill>
                      <a:schemeClr val="bg1">
                        <a:lumMod val="50000"/>
                      </a:schemeClr>
                    </a:solidFill>
                  </a:rPr>
                  <a:t>Années</a:t>
                </a:r>
              </a:p>
            </c:rich>
          </c:tx>
          <c:layout>
            <c:manualLayout>
              <c:xMode val="edge"/>
              <c:yMode val="edge"/>
              <c:x val="0.90294310893257546"/>
              <c:y val="0.79762017311581412"/>
            </c:manualLayout>
          </c:layout>
          <c:overlay val="0"/>
        </c:title>
        <c:numFmt formatCode="General" sourceLinked="1"/>
        <c:majorTickMark val="cross"/>
        <c:minorTickMark val="cross"/>
        <c:tickLblPos val="nextTo"/>
        <c:spPr>
          <a:ln>
            <a:solidFill>
              <a:schemeClr val="tx1">
                <a:lumMod val="50000"/>
                <a:lumOff val="50000"/>
              </a:schemeClr>
            </a:solidFill>
          </a:ln>
        </c:spPr>
        <c:txPr>
          <a:bodyPr/>
          <a:lstStyle/>
          <a:p>
            <a:pPr>
              <a:defRPr>
                <a:solidFill>
                  <a:schemeClr val="bg1">
                    <a:lumMod val="50000"/>
                  </a:schemeClr>
                </a:solidFill>
              </a:defRPr>
            </a:pPr>
            <a:endParaRPr lang="fr-FR"/>
          </a:p>
        </c:txPr>
        <c:crossAx val="169711632"/>
        <c:crosses val="autoZero"/>
        <c:crossBetween val="midCat"/>
      </c:valAx>
      <c:valAx>
        <c:axId val="1697116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\ &quot;€&quot;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>
                    <a:lumMod val="50000"/>
                  </a:schemeClr>
                </a:solidFill>
              </a:defRPr>
            </a:pPr>
            <a:endParaRPr lang="fr-FR"/>
          </a:p>
        </c:txPr>
        <c:crossAx val="169712024"/>
        <c:crosses val="autoZero"/>
        <c:crossBetween val="midCat"/>
      </c:valAx>
      <c:spPr>
        <a:noFill/>
      </c:spPr>
    </c:plotArea>
    <c:plotVisOnly val="0"/>
    <c:dispBlanksAs val="gap"/>
    <c:showDLblsOverMax val="0"/>
  </c:chart>
  <c:spPr>
    <a:gradFill flip="none" rotWithShape="1">
      <a:gsLst>
        <a:gs pos="0">
          <a:sysClr val="window" lastClr="FFFFFF"/>
        </a:gs>
        <a:gs pos="100000">
          <a:srgbClr val="FFFFCC"/>
        </a:gs>
      </a:gsLst>
      <a:path path="circle">
        <a:fillToRect l="50000" t="50000" r="50000" b="50000"/>
      </a:path>
      <a:tileRect/>
    </a:gradFill>
  </c:sp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327925</xdr:colOff>
      <xdr:row>13</xdr:row>
      <xdr:rowOff>121893</xdr:rowOff>
    </xdr:from>
    <xdr:to>
      <xdr:col>4</xdr:col>
      <xdr:colOff>63996</xdr:colOff>
      <xdr:row>29</xdr:row>
      <xdr:rowOff>102093</xdr:rowOff>
    </xdr:to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246063</xdr:colOff>
      <xdr:row>13</xdr:row>
      <xdr:rowOff>101648</xdr:rowOff>
    </xdr:from>
    <xdr:to>
      <xdr:col>9</xdr:col>
      <xdr:colOff>472907</xdr:colOff>
      <xdr:row>29</xdr:row>
      <xdr:rowOff>79376</xdr:rowOff>
    </xdr:to>
    <xdr:graphicFrame macro="">
      <xdr:nvGraphicFramePr>
        <xdr:cNvPr id="3" name="Graphiqu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388937</xdr:colOff>
      <xdr:row>0</xdr:row>
      <xdr:rowOff>171388</xdr:rowOff>
    </xdr:from>
    <xdr:to>
      <xdr:col>12</xdr:col>
      <xdr:colOff>254000</xdr:colOff>
      <xdr:row>12</xdr:row>
      <xdr:rowOff>134937</xdr:rowOff>
    </xdr:to>
    <xdr:graphicFrame macro="">
      <xdr:nvGraphicFramePr>
        <xdr:cNvPr id="4" name="Graphique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704849</xdr:colOff>
      <xdr:row>18</xdr:row>
      <xdr:rowOff>107156</xdr:rowOff>
    </xdr:from>
    <xdr:to>
      <xdr:col>10</xdr:col>
      <xdr:colOff>464342</xdr:colOff>
      <xdr:row>38</xdr:row>
      <xdr:rowOff>71437</xdr:rowOff>
    </xdr:to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18</xdr:row>
      <xdr:rowOff>104775</xdr:rowOff>
    </xdr:from>
    <xdr:to>
      <xdr:col>20</xdr:col>
      <xdr:colOff>219075</xdr:colOff>
      <xdr:row>35</xdr:row>
      <xdr:rowOff>114300</xdr:rowOff>
    </xdr:to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2</xdr:row>
      <xdr:rowOff>19050</xdr:rowOff>
    </xdr:from>
    <xdr:to>
      <xdr:col>8</xdr:col>
      <xdr:colOff>152399</xdr:colOff>
      <xdr:row>24</xdr:row>
      <xdr:rowOff>1</xdr:rowOff>
    </xdr:to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133352</xdr:colOff>
      <xdr:row>4</xdr:row>
      <xdr:rowOff>95250</xdr:rowOff>
    </xdr:from>
    <xdr:to>
      <xdr:col>2</xdr:col>
      <xdr:colOff>1504951</xdr:colOff>
      <xdr:row>26</xdr:row>
      <xdr:rowOff>1</xdr:rowOff>
    </xdr:to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914400</xdr:colOff>
      <xdr:row>25</xdr:row>
      <xdr:rowOff>130921</xdr:rowOff>
    </xdr:from>
    <xdr:to>
      <xdr:col>3</xdr:col>
      <xdr:colOff>1261926</xdr:colOff>
      <xdr:row>27</xdr:row>
      <xdr:rowOff>56921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/>
      </xdr:nvSpPr>
      <xdr:spPr>
        <a:xfrm>
          <a:off x="3048000" y="4179046"/>
          <a:ext cx="4626" cy="24985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fr-FR"/>
        </a:p>
      </xdr:txBody>
    </xdr:sp>
    <xdr:clientData/>
  </xdr:twoCellAnchor>
  <xdr:oneCellAnchor>
    <xdr:from>
      <xdr:col>3</xdr:col>
      <xdr:colOff>657225</xdr:colOff>
      <xdr:row>22</xdr:row>
      <xdr:rowOff>147436</xdr:rowOff>
    </xdr:from>
    <xdr:ext cx="903234" cy="181335"/>
    <xdr:pic macro="[0]!Groupe14_Clic">
      <xdr:nvPicPr>
        <xdr:cNvPr id="6" name="Image 5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97657" y="3766936"/>
          <a:ext cx="903234" cy="181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/OneDrive/Bureau/EN-Solar%20hot%20water%20production%20-%20Veal%20farm-V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Results"/>
      <sheetName val="Calcul"/>
      <sheetName val="Summary for design office"/>
    </sheetNames>
    <sheetDataSet>
      <sheetData sheetId="0"/>
      <sheetData sheetId="1"/>
      <sheetData sheetId="2"/>
      <sheetData sheetId="3">
        <row r="8">
          <cell r="F8" t="str">
            <v xml:space="preserve">Propane 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2" zoomScale="80" zoomScaleNormal="80" workbookViewId="0">
      <selection activeCell="D31" sqref="D31"/>
    </sheetView>
  </sheetViews>
  <sheetFormatPr baseColWidth="10" defaultRowHeight="13.8" x14ac:dyDescent="0.25"/>
  <cols>
    <col min="1" max="1" width="44.8984375" customWidth="1"/>
    <col min="3" max="3" width="12.5" customWidth="1"/>
    <col min="4" max="5" width="9.09765625" customWidth="1"/>
    <col min="6" max="6" width="7.69921875" customWidth="1"/>
    <col min="7" max="7" width="8.8984375" customWidth="1"/>
    <col min="8" max="8" width="8" customWidth="1"/>
    <col min="9" max="9" width="9.09765625" customWidth="1"/>
    <col min="10" max="10" width="11" customWidth="1"/>
    <col min="11" max="11" width="8.09765625" customWidth="1"/>
    <col min="12" max="12" width="7.8984375" customWidth="1"/>
    <col min="13" max="13" width="9.09765625" customWidth="1"/>
    <col min="14" max="14" width="8.5" customWidth="1"/>
  </cols>
  <sheetData>
    <row r="1" spans="1:14" ht="15.6" x14ac:dyDescent="0.3">
      <c r="A1" s="222" t="s">
        <v>164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79" t="s">
        <v>87</v>
      </c>
      <c r="B2" s="253" t="s">
        <v>197</v>
      </c>
      <c r="C2" s="346">
        <v>44342</v>
      </c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4" ht="15.6" x14ac:dyDescent="0.3">
      <c r="A3" s="265" t="s">
        <v>88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ht="15.6" x14ac:dyDescent="0.3">
      <c r="A4" s="224" t="s">
        <v>89</v>
      </c>
      <c r="B4" s="394" t="s">
        <v>165</v>
      </c>
      <c r="C4" s="66" t="s">
        <v>142</v>
      </c>
      <c r="D4" s="53"/>
      <c r="E4" s="53"/>
      <c r="H4" s="349"/>
      <c r="I4" s="351" t="s">
        <v>183</v>
      </c>
      <c r="J4" s="350">
        <f>IF(B6&gt;3,5000,2000)</f>
        <v>5000</v>
      </c>
      <c r="K4" s="349" t="s">
        <v>180</v>
      </c>
    </row>
    <row r="5" spans="1:14" ht="15.6" x14ac:dyDescent="0.3">
      <c r="A5" s="225"/>
      <c r="B5" s="53"/>
      <c r="C5" s="53"/>
      <c r="D5" s="53"/>
      <c r="E5" s="53"/>
      <c r="F5" s="53"/>
      <c r="G5" s="53"/>
      <c r="H5" s="349"/>
      <c r="I5" s="351" t="s">
        <v>184</v>
      </c>
      <c r="J5" s="350">
        <v>3800</v>
      </c>
      <c r="K5" s="349" t="s">
        <v>182</v>
      </c>
      <c r="L5" s="53"/>
      <c r="M5" s="53"/>
      <c r="N5" s="53"/>
    </row>
    <row r="6" spans="1:14" ht="15.6" x14ac:dyDescent="0.3">
      <c r="A6" s="226" t="s">
        <v>90</v>
      </c>
      <c r="B6" s="266">
        <v>4</v>
      </c>
      <c r="C6" s="53"/>
      <c r="D6" s="53"/>
      <c r="E6" s="53"/>
      <c r="F6" s="53"/>
      <c r="G6" s="53"/>
      <c r="H6" s="349"/>
      <c r="I6" s="395" t="s">
        <v>181</v>
      </c>
      <c r="J6" s="348">
        <f>J5*B6+J4</f>
        <v>20200</v>
      </c>
      <c r="K6" s="347" t="s">
        <v>180</v>
      </c>
      <c r="L6" s="53"/>
      <c r="M6" s="53"/>
      <c r="N6" s="53"/>
    </row>
    <row r="7" spans="1:14" ht="15.6" x14ac:dyDescent="0.3">
      <c r="A7" s="227"/>
      <c r="B7" s="106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4" ht="15.6" x14ac:dyDescent="0.3">
      <c r="A8" s="228" t="s">
        <v>91</v>
      </c>
      <c r="B8" s="267" t="s">
        <v>43</v>
      </c>
      <c r="C8" s="268" t="s">
        <v>37</v>
      </c>
      <c r="D8" s="267">
        <v>0.8</v>
      </c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1:14" ht="15.6" x14ac:dyDescent="0.3">
      <c r="A9" s="229" t="s">
        <v>92</v>
      </c>
      <c r="B9" s="269" t="s">
        <v>177</v>
      </c>
      <c r="C9" s="269" t="s">
        <v>169</v>
      </c>
      <c r="D9" s="269" t="s">
        <v>178</v>
      </c>
      <c r="E9" s="270" t="s">
        <v>179</v>
      </c>
      <c r="F9" s="270" t="s">
        <v>170</v>
      </c>
      <c r="G9" s="270" t="s">
        <v>10</v>
      </c>
      <c r="H9" s="270" t="s">
        <v>171</v>
      </c>
      <c r="I9" s="270" t="s">
        <v>172</v>
      </c>
      <c r="J9" s="270" t="s">
        <v>173</v>
      </c>
      <c r="K9" s="270" t="s">
        <v>176</v>
      </c>
      <c r="L9" s="270" t="s">
        <v>175</v>
      </c>
      <c r="M9" s="270" t="s">
        <v>174</v>
      </c>
      <c r="N9" s="270" t="s">
        <v>140</v>
      </c>
    </row>
    <row r="10" spans="1:14" ht="15.6" x14ac:dyDescent="0.3">
      <c r="A10" s="230" t="s">
        <v>93</v>
      </c>
      <c r="B10" s="267">
        <v>0.66</v>
      </c>
      <c r="C10" s="267">
        <v>2.17</v>
      </c>
      <c r="D10" s="267">
        <v>2.1800000000000002</v>
      </c>
      <c r="E10" s="267">
        <v>2.95</v>
      </c>
      <c r="F10" s="267">
        <v>3.81</v>
      </c>
      <c r="G10" s="267">
        <v>2.57</v>
      </c>
      <c r="H10" s="267">
        <v>2.98</v>
      </c>
      <c r="I10" s="267">
        <v>3.86</v>
      </c>
      <c r="J10" s="267">
        <v>2.69</v>
      </c>
      <c r="K10" s="267">
        <v>1.73</v>
      </c>
      <c r="L10" s="267">
        <v>1.22</v>
      </c>
      <c r="M10" s="267">
        <v>1.02</v>
      </c>
      <c r="N10" s="271">
        <f>SUM(B10:M10)/12</f>
        <v>2.3199999999999998</v>
      </c>
    </row>
    <row r="11" spans="1:14" ht="15.6" x14ac:dyDescent="0.3">
      <c r="A11" s="230" t="s">
        <v>94</v>
      </c>
      <c r="B11" s="267">
        <v>0.55000000000000004</v>
      </c>
      <c r="C11" s="267">
        <v>1.44</v>
      </c>
      <c r="D11" s="267">
        <v>1.67</v>
      </c>
      <c r="E11" s="267">
        <v>2.29</v>
      </c>
      <c r="F11" s="267">
        <v>2.59</v>
      </c>
      <c r="G11" s="267">
        <v>2.52</v>
      </c>
      <c r="H11" s="267">
        <v>2.66</v>
      </c>
      <c r="I11" s="267">
        <v>2.46</v>
      </c>
      <c r="J11" s="267">
        <v>2.06</v>
      </c>
      <c r="K11" s="267">
        <v>1.5</v>
      </c>
      <c r="L11" s="267">
        <v>1.04</v>
      </c>
      <c r="M11" s="267">
        <v>0.8</v>
      </c>
      <c r="N11" s="271">
        <f>SUM(B11:M11)/12</f>
        <v>1.7983333333333331</v>
      </c>
    </row>
    <row r="12" spans="1:14" ht="15.6" x14ac:dyDescent="0.3">
      <c r="A12" s="231"/>
      <c r="B12" s="272"/>
      <c r="C12" s="273"/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1"/>
    </row>
    <row r="13" spans="1:14" ht="15.6" x14ac:dyDescent="0.3">
      <c r="A13" s="230" t="s">
        <v>95</v>
      </c>
      <c r="B13" s="398">
        <v>7.5</v>
      </c>
      <c r="C13" s="398">
        <v>7.8</v>
      </c>
      <c r="D13" s="398">
        <v>9.4</v>
      </c>
      <c r="E13" s="398">
        <v>11</v>
      </c>
      <c r="F13" s="398">
        <v>12</v>
      </c>
      <c r="G13" s="398">
        <v>14</v>
      </c>
      <c r="H13" s="398">
        <v>15</v>
      </c>
      <c r="I13" s="398">
        <v>15</v>
      </c>
      <c r="J13" s="398">
        <v>14</v>
      </c>
      <c r="K13" s="398">
        <v>11</v>
      </c>
      <c r="L13" s="398">
        <v>9.3000000000000007</v>
      </c>
      <c r="M13" s="398">
        <v>7.8</v>
      </c>
      <c r="N13" s="274">
        <f>SUM(B13:M13)/12</f>
        <v>11.15</v>
      </c>
    </row>
    <row r="14" spans="1:14" ht="15.6" x14ac:dyDescent="0.3">
      <c r="A14" s="225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</row>
    <row r="15" spans="1:14" ht="15.6" x14ac:dyDescent="0.3">
      <c r="A15" s="232" t="s">
        <v>96</v>
      </c>
      <c r="B15" s="275">
        <v>942</v>
      </c>
      <c r="C15" s="275">
        <v>942</v>
      </c>
      <c r="D15" s="275">
        <v>942</v>
      </c>
      <c r="E15" s="275">
        <v>942</v>
      </c>
      <c r="F15" s="275">
        <v>942</v>
      </c>
      <c r="G15" s="275">
        <v>942</v>
      </c>
      <c r="H15" s="275">
        <v>942</v>
      </c>
      <c r="I15" s="275">
        <v>942</v>
      </c>
      <c r="J15" s="275">
        <v>942</v>
      </c>
      <c r="K15" s="275">
        <v>942</v>
      </c>
      <c r="L15" s="275">
        <v>942</v>
      </c>
      <c r="M15" s="275">
        <v>942</v>
      </c>
      <c r="N15" s="53"/>
    </row>
    <row r="16" spans="1:14" ht="15.6" x14ac:dyDescent="0.3">
      <c r="A16" s="233" t="s">
        <v>97</v>
      </c>
      <c r="B16" s="397">
        <v>15</v>
      </c>
      <c r="C16" s="397">
        <v>28</v>
      </c>
      <c r="D16" s="397">
        <v>31</v>
      </c>
      <c r="E16" s="397">
        <v>30</v>
      </c>
      <c r="F16" s="397">
        <v>31</v>
      </c>
      <c r="G16" s="397">
        <v>30</v>
      </c>
      <c r="H16" s="397">
        <v>15</v>
      </c>
      <c r="I16" s="397">
        <v>31</v>
      </c>
      <c r="J16" s="397">
        <v>30</v>
      </c>
      <c r="K16" s="397">
        <v>31</v>
      </c>
      <c r="L16" s="397">
        <v>30</v>
      </c>
      <c r="M16" s="397">
        <v>31</v>
      </c>
      <c r="N16" s="53"/>
    </row>
    <row r="17" spans="1:14" ht="15.6" x14ac:dyDescent="0.3">
      <c r="A17" s="22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</row>
    <row r="18" spans="1:14" ht="15.6" x14ac:dyDescent="0.3">
      <c r="A18" s="234" t="s">
        <v>98</v>
      </c>
      <c r="B18" s="276">
        <v>80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</row>
    <row r="19" spans="1:14" ht="15.6" x14ac:dyDescent="0.3">
      <c r="A19" s="260" t="s">
        <v>99</v>
      </c>
      <c r="B19" s="396">
        <v>0.37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</row>
    <row r="20" spans="1:14" ht="14.4" x14ac:dyDescent="0.3">
      <c r="A20" s="277"/>
      <c r="B20" s="278"/>
      <c r="C20" s="278"/>
      <c r="D20" s="278"/>
      <c r="E20" s="278"/>
      <c r="F20" s="278"/>
      <c r="G20" s="278"/>
      <c r="H20" s="278"/>
      <c r="I20" s="278"/>
      <c r="J20" s="278"/>
      <c r="K20" s="278"/>
      <c r="L20" s="278"/>
      <c r="M20" s="278"/>
      <c r="N20" s="278"/>
    </row>
    <row r="21" spans="1:14" ht="15.6" x14ac:dyDescent="0.3">
      <c r="A21" s="279" t="s">
        <v>107</v>
      </c>
      <c r="B21" s="263"/>
      <c r="C21" s="264"/>
      <c r="D21" s="264"/>
      <c r="E21" s="264"/>
      <c r="F21" s="264"/>
      <c r="G21" s="278"/>
      <c r="H21" s="278"/>
      <c r="I21" s="278"/>
      <c r="J21" s="278"/>
      <c r="K21" s="278"/>
      <c r="L21" s="278"/>
      <c r="M21" s="278"/>
      <c r="N21" s="278"/>
    </row>
    <row r="22" spans="1:14" ht="15.6" x14ac:dyDescent="0.3">
      <c r="A22" s="280" t="s">
        <v>100</v>
      </c>
      <c r="B22" s="253">
        <v>20200</v>
      </c>
      <c r="C22" s="281" t="s">
        <v>66</v>
      </c>
      <c r="D22" s="282" t="s">
        <v>168</v>
      </c>
      <c r="E22" s="255">
        <v>0</v>
      </c>
      <c r="F22" s="115"/>
      <c r="G22" s="53"/>
      <c r="H22" s="278"/>
      <c r="I22" s="278"/>
      <c r="J22" s="278"/>
      <c r="K22" s="278"/>
      <c r="L22" s="278"/>
      <c r="M22" s="278"/>
      <c r="N22" s="278"/>
    </row>
    <row r="23" spans="1:14" ht="15.6" x14ac:dyDescent="0.3">
      <c r="A23" s="280" t="s">
        <v>101</v>
      </c>
      <c r="B23" s="254">
        <v>0</v>
      </c>
      <c r="C23" s="281" t="s">
        <v>66</v>
      </c>
      <c r="D23" s="122"/>
      <c r="E23" s="122"/>
      <c r="F23" s="115"/>
      <c r="G23" s="53"/>
      <c r="H23" s="278"/>
      <c r="I23" s="278"/>
      <c r="J23" s="278"/>
      <c r="K23" s="278"/>
      <c r="L23" s="278"/>
      <c r="M23" s="278"/>
      <c r="N23" s="278"/>
    </row>
    <row r="24" spans="1:14" ht="15.6" x14ac:dyDescent="0.3">
      <c r="A24" s="283"/>
      <c r="B24" s="235"/>
      <c r="C24" s="284"/>
      <c r="D24" s="122"/>
      <c r="E24" s="122"/>
      <c r="F24" s="115"/>
      <c r="G24" s="53"/>
      <c r="H24" s="278"/>
      <c r="I24" s="278"/>
      <c r="J24" s="278"/>
      <c r="K24" s="278"/>
      <c r="L24" s="278"/>
      <c r="M24" s="278"/>
      <c r="N24" s="278"/>
    </row>
    <row r="25" spans="1:14" ht="15.6" x14ac:dyDescent="0.3">
      <c r="A25" s="285" t="s">
        <v>103</v>
      </c>
      <c r="B25" s="118">
        <f>B23+B22*(1-E22)</f>
        <v>20200</v>
      </c>
      <c r="C25" s="286" t="s">
        <v>66</v>
      </c>
      <c r="D25" s="122"/>
      <c r="E25" s="122"/>
      <c r="F25" s="115"/>
      <c r="G25" s="53"/>
      <c r="H25" s="278"/>
      <c r="I25" s="278"/>
      <c r="J25" s="278"/>
      <c r="K25" s="278"/>
      <c r="L25" s="278"/>
      <c r="M25" s="278"/>
      <c r="N25" s="278"/>
    </row>
    <row r="26" spans="1:14" ht="15.6" x14ac:dyDescent="0.3">
      <c r="A26" s="285" t="s">
        <v>104</v>
      </c>
      <c r="B26" s="256">
        <v>1.2E-2</v>
      </c>
      <c r="C26" s="117"/>
      <c r="D26" s="122"/>
      <c r="E26" s="122"/>
      <c r="F26" s="115"/>
      <c r="G26" s="53"/>
      <c r="H26" s="278"/>
      <c r="I26" s="278"/>
      <c r="J26" s="278"/>
      <c r="K26" s="278"/>
      <c r="L26" s="278"/>
      <c r="M26" s="278"/>
      <c r="N26" s="278"/>
    </row>
    <row r="27" spans="1:14" ht="15.6" x14ac:dyDescent="0.3">
      <c r="A27" s="285" t="s">
        <v>105</v>
      </c>
      <c r="B27" s="399">
        <v>10</v>
      </c>
      <c r="C27" s="117" t="s">
        <v>140</v>
      </c>
      <c r="D27" s="115"/>
      <c r="E27" s="115"/>
      <c r="F27" s="115"/>
      <c r="G27" s="53"/>
      <c r="H27" s="278"/>
      <c r="I27" s="278"/>
      <c r="J27" s="278"/>
      <c r="K27" s="278"/>
      <c r="L27" s="278"/>
      <c r="M27" s="278"/>
      <c r="N27" s="278"/>
    </row>
    <row r="28" spans="1:14" ht="15.6" x14ac:dyDescent="0.3">
      <c r="A28" s="287"/>
      <c r="B28" s="288"/>
      <c r="C28" s="288"/>
      <c r="D28" s="288"/>
      <c r="E28" s="115"/>
      <c r="F28" s="115"/>
      <c r="G28" s="53"/>
      <c r="H28" s="278"/>
      <c r="I28" s="278"/>
      <c r="J28" s="278"/>
      <c r="K28" s="278"/>
      <c r="L28" s="278"/>
      <c r="M28" s="278"/>
      <c r="N28" s="278"/>
    </row>
    <row r="29" spans="1:14" ht="15.6" x14ac:dyDescent="0.3">
      <c r="A29" s="280" t="s">
        <v>106</v>
      </c>
      <c r="B29" s="257">
        <v>0.01</v>
      </c>
      <c r="C29" s="258">
        <v>0.03</v>
      </c>
      <c r="D29" s="259">
        <v>0.05</v>
      </c>
      <c r="E29" s="278"/>
      <c r="F29" s="278"/>
      <c r="G29" s="278"/>
      <c r="H29" s="278"/>
      <c r="I29" s="278"/>
      <c r="J29" s="278"/>
      <c r="K29" s="278"/>
      <c r="L29" s="278"/>
      <c r="M29" s="278"/>
      <c r="N29" s="278"/>
    </row>
    <row r="30" spans="1:14" ht="15.6" x14ac:dyDescent="0.3">
      <c r="A30" s="289"/>
      <c r="B30" s="116"/>
      <c r="C30" s="119"/>
      <c r="D30" s="115"/>
      <c r="E30" s="278"/>
      <c r="F30" s="278"/>
      <c r="G30" s="278"/>
      <c r="H30" s="278"/>
      <c r="I30" s="278"/>
      <c r="J30" s="278"/>
      <c r="K30" s="278"/>
      <c r="L30" s="278"/>
      <c r="M30" s="278"/>
      <c r="N30" s="278"/>
    </row>
    <row r="31" spans="1:14" ht="15.6" x14ac:dyDescent="0.3">
      <c r="A31" s="285" t="s">
        <v>102</v>
      </c>
      <c r="B31" s="254">
        <v>0.17</v>
      </c>
      <c r="C31" s="290" t="s">
        <v>167</v>
      </c>
      <c r="D31" s="121"/>
      <c r="E31" s="278"/>
      <c r="F31" s="278"/>
      <c r="G31" s="278"/>
      <c r="H31" s="278">
        <v>30</v>
      </c>
      <c r="I31" s="278"/>
      <c r="J31" s="278"/>
      <c r="K31" s="278"/>
      <c r="L31" s="278"/>
      <c r="M31" s="278"/>
      <c r="N31" s="278"/>
    </row>
    <row r="32" spans="1:14" ht="15.6" x14ac:dyDescent="0.3">
      <c r="A32" s="120"/>
      <c r="B32" s="120"/>
      <c r="C32" s="119"/>
      <c r="D32" s="115"/>
      <c r="E32" s="278"/>
      <c r="F32" s="278"/>
      <c r="G32" s="278"/>
      <c r="H32" s="278"/>
      <c r="I32" s="278"/>
      <c r="J32" s="278"/>
      <c r="K32" s="278"/>
      <c r="L32" s="278"/>
      <c r="M32" s="278"/>
      <c r="N32" s="278"/>
    </row>
    <row r="33" spans="1:6" ht="15.6" x14ac:dyDescent="0.3">
      <c r="A33" s="120"/>
      <c r="B33" s="120"/>
      <c r="C33" s="119"/>
      <c r="D33" s="115"/>
      <c r="E33" s="115"/>
      <c r="F33" s="114"/>
    </row>
    <row r="34" spans="1:6" ht="15.6" x14ac:dyDescent="0.3">
      <c r="D34" s="115"/>
      <c r="E34" s="115"/>
      <c r="F34" s="114"/>
    </row>
    <row r="35" spans="1:6" ht="15.6" x14ac:dyDescent="0.3">
      <c r="D35" s="115"/>
      <c r="E35" s="115"/>
      <c r="F35" s="114"/>
    </row>
    <row r="36" spans="1:6" ht="15.6" x14ac:dyDescent="0.3">
      <c r="D36" s="115"/>
      <c r="E36" s="115"/>
      <c r="F36" s="114"/>
    </row>
    <row r="37" spans="1:6" ht="15.6" x14ac:dyDescent="0.3">
      <c r="A37" s="115"/>
      <c r="B37" s="116"/>
      <c r="C37" s="115"/>
      <c r="D37" s="115"/>
      <c r="E37" s="115"/>
      <c r="F37" s="114"/>
    </row>
    <row r="38" spans="1:6" ht="14.4" x14ac:dyDescent="0.3">
      <c r="F38" s="114"/>
    </row>
    <row r="39" spans="1:6" ht="14.4" x14ac:dyDescent="0.3">
      <c r="F39" s="114"/>
    </row>
    <row r="40" spans="1:6" ht="14.4" x14ac:dyDescent="0.3">
      <c r="F40" s="114"/>
    </row>
    <row r="43" spans="1:6" x14ac:dyDescent="0.25">
      <c r="A43" t="s">
        <v>85</v>
      </c>
    </row>
  </sheetData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showGridLines="0" zoomScale="90" zoomScaleNormal="90" workbookViewId="0">
      <selection activeCell="B5" sqref="B5"/>
    </sheetView>
  </sheetViews>
  <sheetFormatPr baseColWidth="10" defaultRowHeight="13.8" x14ac:dyDescent="0.25"/>
  <cols>
    <col min="1" max="1" width="5.59765625" customWidth="1"/>
    <col min="2" max="2" width="41.69921875" bestFit="1" customWidth="1"/>
    <col min="3" max="3" width="8" customWidth="1"/>
    <col min="4" max="4" width="8.59765625" customWidth="1"/>
    <col min="5" max="5" width="19.59765625" customWidth="1"/>
    <col min="6" max="6" width="7" customWidth="1"/>
    <col min="7" max="7" width="7.5" customWidth="1"/>
    <col min="11" max="11" width="12.8984375" customWidth="1"/>
    <col min="12" max="12" width="14.69921875" customWidth="1"/>
    <col min="13" max="13" width="25.8984375" customWidth="1"/>
    <col min="14" max="14" width="7.09765625" customWidth="1"/>
    <col min="15" max="15" width="6.5" customWidth="1"/>
  </cols>
  <sheetData>
    <row r="1" spans="1:10" s="54" customFormat="1" x14ac:dyDescent="0.25">
      <c r="A1" s="80"/>
      <c r="B1" s="81"/>
      <c r="C1" s="81"/>
      <c r="D1" s="81"/>
      <c r="E1" s="81"/>
      <c r="F1" s="81"/>
      <c r="G1" s="81"/>
      <c r="H1" s="81"/>
      <c r="I1" s="81"/>
      <c r="J1" s="81"/>
    </row>
    <row r="2" spans="1:10" ht="17.399999999999999" x14ac:dyDescent="0.3">
      <c r="B2" s="105" t="s">
        <v>166</v>
      </c>
      <c r="D2" s="87" t="s">
        <v>87</v>
      </c>
      <c r="E2" s="104" t="str">
        <f>'Input-data'!B2</f>
        <v>yyy</v>
      </c>
    </row>
    <row r="3" spans="1:10" ht="15" x14ac:dyDescent="0.25">
      <c r="B3" s="67"/>
      <c r="D3" s="87" t="s">
        <v>41</v>
      </c>
      <c r="E3" s="88">
        <f>'Input-data'!C2</f>
        <v>44342</v>
      </c>
    </row>
    <row r="5" spans="1:10" ht="15.6" x14ac:dyDescent="0.3">
      <c r="B5" s="291" t="s">
        <v>195</v>
      </c>
      <c r="C5" s="96">
        <f>'Summary_Tech-Design'!C8</f>
        <v>39856.614617940206</v>
      </c>
      <c r="D5" s="97" t="s">
        <v>112</v>
      </c>
      <c r="E5" s="93" t="str">
        <f>'[1]Summary for design office'!F8</f>
        <v xml:space="preserve">Propane </v>
      </c>
      <c r="F5" s="96">
        <f>'Summary_Tech-Design'!G8</f>
        <v>3113.7980170265782</v>
      </c>
      <c r="G5" s="89" t="str">
        <f>'Summary_Tech-Design'!H8</f>
        <v>kg/year</v>
      </c>
    </row>
    <row r="6" spans="1:10" ht="15.6" x14ac:dyDescent="0.3">
      <c r="B6" s="292" t="s">
        <v>109</v>
      </c>
      <c r="C6" s="96">
        <f>'Summary_Tech-Design'!C15</f>
        <v>20744.274363455654</v>
      </c>
      <c r="D6" s="97" t="s">
        <v>112</v>
      </c>
      <c r="E6" s="94" t="s">
        <v>125</v>
      </c>
      <c r="F6" s="100">
        <f>'Summary_Tech-Design'!G15</f>
        <v>1620.6464346449729</v>
      </c>
      <c r="G6" s="99" t="str">
        <f>'Summary_Tech-Design'!H15</f>
        <v>kg/year</v>
      </c>
    </row>
    <row r="7" spans="1:10" ht="15.6" x14ac:dyDescent="0.3">
      <c r="B7" s="293" t="s">
        <v>110</v>
      </c>
      <c r="C7" s="101">
        <f>'Summary_Tech-Design'!C14</f>
        <v>0.520472563018894</v>
      </c>
      <c r="D7" s="97"/>
      <c r="E7" s="95"/>
      <c r="F7" s="98"/>
      <c r="G7" s="90"/>
    </row>
    <row r="8" spans="1:10" ht="15.6" x14ac:dyDescent="0.3">
      <c r="B8" s="294" t="s">
        <v>111</v>
      </c>
      <c r="C8" s="102">
        <f>'Summary_Tech-Design'!C16</f>
        <v>4771.1831035948007</v>
      </c>
      <c r="D8" s="103" t="s">
        <v>113</v>
      </c>
      <c r="E8" s="91"/>
      <c r="F8" s="91"/>
      <c r="G8" s="92"/>
    </row>
  </sheetData>
  <sheetProtection sheet="1" objects="1" scenarios="1" selectLockedCells="1" selectUnlockedCells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zoomScaleNormal="100" workbookViewId="0">
      <selection activeCell="P28" sqref="P28"/>
    </sheetView>
  </sheetViews>
  <sheetFormatPr baseColWidth="10" defaultColWidth="10.8984375" defaultRowHeight="13.8" x14ac:dyDescent="0.25"/>
  <cols>
    <col min="1" max="1" width="24.09765625" style="1" bestFit="1" customWidth="1"/>
    <col min="2" max="2" width="4.8984375" style="1" bestFit="1" customWidth="1"/>
    <col min="3" max="3" width="10.19921875" style="1" bestFit="1" customWidth="1"/>
    <col min="4" max="4" width="7.8984375" style="1" customWidth="1"/>
    <col min="5" max="5" width="6" style="1" customWidth="1"/>
    <col min="6" max="6" width="7.59765625" style="1" customWidth="1"/>
    <col min="7" max="7" width="8.3984375" style="1" customWidth="1"/>
    <col min="8" max="8" width="8.09765625" style="1" customWidth="1"/>
    <col min="9" max="9" width="9.59765625" style="1" customWidth="1"/>
    <col min="10" max="10" width="9.09765625" style="1" customWidth="1"/>
    <col min="11" max="11" width="12" style="1" customWidth="1"/>
    <col min="12" max="12" width="7.59765625" style="1" customWidth="1"/>
    <col min="13" max="13" width="8" style="1" customWidth="1"/>
    <col min="14" max="14" width="7.8984375" style="1" customWidth="1"/>
    <col min="15" max="15" width="7" style="1" customWidth="1"/>
    <col min="16" max="16" width="9" style="1" customWidth="1"/>
    <col min="17" max="17" width="15" style="1" customWidth="1"/>
    <col min="18" max="18" width="8.3984375" style="1" customWidth="1"/>
    <col min="19" max="19" width="15.09765625" style="1" customWidth="1"/>
    <col min="20" max="16384" width="10.8984375" style="1"/>
  </cols>
  <sheetData>
    <row r="1" spans="1:16" x14ac:dyDescent="0.25">
      <c r="A1" s="3" t="s">
        <v>30</v>
      </c>
      <c r="B1" s="3"/>
      <c r="C1" s="3"/>
      <c r="D1" s="4" t="s">
        <v>0</v>
      </c>
      <c r="E1" s="4"/>
      <c r="F1" s="4"/>
      <c r="G1" s="4"/>
      <c r="H1" s="4"/>
      <c r="I1" s="4"/>
      <c r="L1" s="3"/>
      <c r="M1" s="3"/>
      <c r="N1" s="3"/>
      <c r="O1" s="3"/>
      <c r="P1" s="3"/>
    </row>
    <row r="2" spans="1:16" x14ac:dyDescent="0.25">
      <c r="A2" s="51" t="s">
        <v>32</v>
      </c>
      <c r="B2" s="51"/>
      <c r="C2" s="51"/>
      <c r="D2" s="50" t="str">
        <f>'Input-data'!B4</f>
        <v>xxxx</v>
      </c>
      <c r="E2" s="50" t="str">
        <f>'Input-data'!C4</f>
        <v>kWh/Year</v>
      </c>
      <c r="F2" s="50" t="e">
        <f>'Input-data'!#REF!</f>
        <v>#REF!</v>
      </c>
      <c r="G2" s="50" t="e">
        <f>'Input-data'!#REF!</f>
        <v>#REF!</v>
      </c>
      <c r="H2" s="50" t="e">
        <f>'Input-data'!#REF!</f>
        <v>#REF!</v>
      </c>
      <c r="I2" s="50" t="e">
        <f>'Input-data'!#REF!</f>
        <v>#REF!</v>
      </c>
      <c r="J2" s="50"/>
      <c r="K2" s="50" t="e">
        <f>'Input-data'!#REF!</f>
        <v>#REF!</v>
      </c>
      <c r="L2" s="50"/>
      <c r="M2" s="50" t="e">
        <f>'Input-data'!#REF!</f>
        <v>#REF!</v>
      </c>
      <c r="N2" s="50" t="e">
        <f>'Input-data'!#REF!</f>
        <v>#REF!</v>
      </c>
      <c r="O2" s="3"/>
      <c r="P2" s="3"/>
    </row>
    <row r="3" spans="1:16" x14ac:dyDescent="0.25">
      <c r="A3" s="5" t="s">
        <v>28</v>
      </c>
      <c r="B3" s="5"/>
      <c r="C3" s="5"/>
      <c r="D3" s="46">
        <v>30</v>
      </c>
      <c r="E3" s="5"/>
      <c r="F3" s="5"/>
      <c r="G3" s="5"/>
      <c r="H3" s="5"/>
      <c r="I3" s="5"/>
      <c r="J3" s="5"/>
      <c r="K3" s="5"/>
      <c r="L3" s="5"/>
      <c r="M3" s="5"/>
      <c r="N3" s="5"/>
      <c r="O3" s="4"/>
      <c r="P3" s="4"/>
    </row>
    <row r="4" spans="1:16" x14ac:dyDescent="0.25">
      <c r="A4" s="5" t="s">
        <v>29</v>
      </c>
      <c r="B4" s="5"/>
      <c r="C4" s="5"/>
      <c r="D4" s="45">
        <f>'Input-data'!B6</f>
        <v>4</v>
      </c>
      <c r="E4" s="5"/>
      <c r="F4" s="5" t="s">
        <v>1</v>
      </c>
      <c r="G4" s="5"/>
      <c r="H4" s="6">
        <v>0.5</v>
      </c>
      <c r="I4" s="5"/>
      <c r="J4" s="5" t="s">
        <v>2</v>
      </c>
      <c r="K4" s="5"/>
      <c r="L4" s="5">
        <v>0.76910000000000001</v>
      </c>
      <c r="M4" s="5"/>
      <c r="N4" s="5"/>
      <c r="O4" s="4"/>
      <c r="P4" s="4"/>
    </row>
    <row r="5" spans="1:16" x14ac:dyDescent="0.25">
      <c r="A5" s="5" t="s">
        <v>3</v>
      </c>
      <c r="B5" s="5"/>
      <c r="C5" s="5"/>
      <c r="D5" s="46">
        <f>D3*D4</f>
        <v>120</v>
      </c>
      <c r="E5" s="5"/>
      <c r="F5" s="5" t="s">
        <v>4</v>
      </c>
      <c r="G5" s="5"/>
      <c r="H5" s="6">
        <v>0.8</v>
      </c>
      <c r="I5" s="5"/>
      <c r="J5" s="5" t="s">
        <v>22</v>
      </c>
      <c r="K5" s="5"/>
      <c r="L5" s="5">
        <v>1.3</v>
      </c>
      <c r="M5" s="5" t="s">
        <v>35</v>
      </c>
      <c r="N5" s="5"/>
      <c r="O5" s="4"/>
      <c r="P5" s="4"/>
    </row>
    <row r="6" spans="1:16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5">
      <c r="A7" s="7" t="s">
        <v>39</v>
      </c>
      <c r="B7" s="7"/>
      <c r="C7" s="7"/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  <c r="O7" s="8" t="s">
        <v>16</v>
      </c>
      <c r="P7" s="8" t="s">
        <v>17</v>
      </c>
    </row>
    <row r="8" spans="1:16" x14ac:dyDescent="0.25">
      <c r="A8" s="9" t="s">
        <v>18</v>
      </c>
      <c r="B8" s="9"/>
      <c r="C8" s="9"/>
      <c r="D8" s="10">
        <f t="shared" ref="D8:O8" si="0">D9+D10</f>
        <v>1.21</v>
      </c>
      <c r="E8" s="10">
        <f t="shared" si="0"/>
        <v>3.61</v>
      </c>
      <c r="F8" s="10">
        <f t="shared" si="0"/>
        <v>3.85</v>
      </c>
      <c r="G8" s="10">
        <f t="shared" si="0"/>
        <v>5.24</v>
      </c>
      <c r="H8" s="10">
        <f t="shared" si="0"/>
        <v>6.4</v>
      </c>
      <c r="I8" s="10">
        <f t="shared" si="0"/>
        <v>5.09</v>
      </c>
      <c r="J8" s="10">
        <f t="shared" si="0"/>
        <v>5.6400000000000006</v>
      </c>
      <c r="K8" s="10">
        <f t="shared" si="0"/>
        <v>6.32</v>
      </c>
      <c r="L8" s="10">
        <f t="shared" si="0"/>
        <v>4.75</v>
      </c>
      <c r="M8" s="10">
        <f t="shared" si="0"/>
        <v>3.23</v>
      </c>
      <c r="N8" s="10">
        <f t="shared" si="0"/>
        <v>2.2599999999999998</v>
      </c>
      <c r="O8" s="10">
        <f t="shared" si="0"/>
        <v>1.82</v>
      </c>
      <c r="P8" s="11">
        <f>SUM(D8:O8)/12</f>
        <v>4.1183333333333332</v>
      </c>
    </row>
    <row r="9" spans="1:16" ht="15.6" x14ac:dyDescent="0.25">
      <c r="A9" s="12" t="s">
        <v>19</v>
      </c>
      <c r="B9" s="82"/>
      <c r="C9" s="82"/>
      <c r="D9" s="35">
        <f>'Input-data'!B10</f>
        <v>0.66</v>
      </c>
      <c r="E9" s="35">
        <f>'Input-data'!C10</f>
        <v>2.17</v>
      </c>
      <c r="F9" s="35">
        <f>'Input-data'!D10</f>
        <v>2.1800000000000002</v>
      </c>
      <c r="G9" s="35">
        <f>'Input-data'!E10</f>
        <v>2.95</v>
      </c>
      <c r="H9" s="35">
        <f>'Input-data'!F10</f>
        <v>3.81</v>
      </c>
      <c r="I9" s="35">
        <f>'Input-data'!G10</f>
        <v>2.57</v>
      </c>
      <c r="J9" s="35">
        <f>'Input-data'!H10</f>
        <v>2.98</v>
      </c>
      <c r="K9" s="35">
        <f>'Input-data'!I10</f>
        <v>3.86</v>
      </c>
      <c r="L9" s="35">
        <f>'Input-data'!J10</f>
        <v>2.69</v>
      </c>
      <c r="M9" s="35">
        <f>'Input-data'!K10</f>
        <v>1.73</v>
      </c>
      <c r="N9" s="35">
        <f>'Input-data'!L10</f>
        <v>1.22</v>
      </c>
      <c r="O9" s="35">
        <f>'Input-data'!M10</f>
        <v>1.02</v>
      </c>
      <c r="P9" s="13">
        <f>SUM(D9:O9)/12</f>
        <v>2.3199999999999998</v>
      </c>
    </row>
    <row r="10" spans="1:16" ht="15.6" x14ac:dyDescent="0.25">
      <c r="A10" s="12" t="s">
        <v>20</v>
      </c>
      <c r="B10" s="82"/>
      <c r="C10" s="82"/>
      <c r="D10" s="36">
        <f>'Input-data'!B11</f>
        <v>0.55000000000000004</v>
      </c>
      <c r="E10" s="36">
        <f>'Input-data'!C11</f>
        <v>1.44</v>
      </c>
      <c r="F10" s="36">
        <f>'Input-data'!D11</f>
        <v>1.67</v>
      </c>
      <c r="G10" s="36">
        <f>'Input-data'!E11</f>
        <v>2.29</v>
      </c>
      <c r="H10" s="36">
        <f>'Input-data'!F11</f>
        <v>2.59</v>
      </c>
      <c r="I10" s="36">
        <f>'Input-data'!G11</f>
        <v>2.52</v>
      </c>
      <c r="J10" s="36">
        <f>'Input-data'!H11</f>
        <v>2.66</v>
      </c>
      <c r="K10" s="36">
        <f>'Input-data'!I11</f>
        <v>2.46</v>
      </c>
      <c r="L10" s="36">
        <f>'Input-data'!J11</f>
        <v>2.06</v>
      </c>
      <c r="M10" s="36">
        <f>'Input-data'!K11</f>
        <v>1.5</v>
      </c>
      <c r="N10" s="36">
        <f>'Input-data'!L11</f>
        <v>1.04</v>
      </c>
      <c r="O10" s="36">
        <f>'Input-data'!M11</f>
        <v>0.8</v>
      </c>
      <c r="P10" s="13">
        <f>SUM(D10:O10)/12</f>
        <v>1.7983333333333331</v>
      </c>
    </row>
    <row r="11" spans="1:16" ht="15.6" x14ac:dyDescent="0.25">
      <c r="A11" s="7" t="s">
        <v>23</v>
      </c>
      <c r="B11" s="83"/>
      <c r="C11" s="83"/>
      <c r="D11" s="35">
        <f>'Input-data'!B13</f>
        <v>7.5</v>
      </c>
      <c r="E11" s="35">
        <f>'Input-data'!C13</f>
        <v>7.8</v>
      </c>
      <c r="F11" s="35">
        <f>'Input-data'!D13</f>
        <v>9.4</v>
      </c>
      <c r="G11" s="35">
        <f>'Input-data'!E13</f>
        <v>11</v>
      </c>
      <c r="H11" s="35">
        <f>'Input-data'!F13</f>
        <v>12</v>
      </c>
      <c r="I11" s="35">
        <f>'Input-data'!G13</f>
        <v>14</v>
      </c>
      <c r="J11" s="35">
        <f>'Input-data'!H13</f>
        <v>15</v>
      </c>
      <c r="K11" s="35">
        <f>'Input-data'!I13</f>
        <v>15</v>
      </c>
      <c r="L11" s="35">
        <f>'Input-data'!J13</f>
        <v>14</v>
      </c>
      <c r="M11" s="35">
        <f>'Input-data'!K13</f>
        <v>11</v>
      </c>
      <c r="N11" s="35">
        <f>'Input-data'!L13</f>
        <v>9.3000000000000007</v>
      </c>
      <c r="O11" s="35">
        <f>'Input-data'!M13</f>
        <v>7.8</v>
      </c>
      <c r="P11" s="14"/>
    </row>
    <row r="12" spans="1:16" x14ac:dyDescent="0.25">
      <c r="A12" s="7" t="s">
        <v>44</v>
      </c>
      <c r="B12" s="7"/>
      <c r="C12" s="7" t="s">
        <v>45</v>
      </c>
      <c r="D12" s="15">
        <f xml:space="preserve"> D9*$D5*0.046*1.8*(3.14/2)*D20*$L4</f>
        <v>118.77614923680002</v>
      </c>
      <c r="E12" s="15">
        <f t="shared" ref="E12:O12" si="1" xml:space="preserve"> E9*$D5*0.046*1.8*(3.14/2)*E20*$L4</f>
        <v>728.97361895232007</v>
      </c>
      <c r="F12" s="15">
        <f t="shared" si="1"/>
        <v>810.79718842656018</v>
      </c>
      <c r="G12" s="15">
        <f t="shared" si="1"/>
        <v>1061.786788632</v>
      </c>
      <c r="H12" s="15">
        <f t="shared" si="1"/>
        <v>1417.0354531675198</v>
      </c>
      <c r="I12" s="15">
        <f t="shared" si="1"/>
        <v>925.01425314719995</v>
      </c>
      <c r="J12" s="15">
        <f xml:space="preserve"> J9*$D5*0.046*1.8*(3.14/2)*J20*$L4</f>
        <v>536.29231019040003</v>
      </c>
      <c r="K12" s="15">
        <f t="shared" si="1"/>
        <v>1435.63171895712</v>
      </c>
      <c r="L12" s="15">
        <f t="shared" si="1"/>
        <v>968.20558014240009</v>
      </c>
      <c r="M12" s="15">
        <f t="shared" si="1"/>
        <v>643.43079632016008</v>
      </c>
      <c r="N12" s="15">
        <f t="shared" si="1"/>
        <v>439.11182445119994</v>
      </c>
      <c r="O12" s="15">
        <f t="shared" si="1"/>
        <v>379.36382210784001</v>
      </c>
      <c r="P12" s="15">
        <f>SUM(D12:O12)</f>
        <v>9464.4195037315203</v>
      </c>
    </row>
    <row r="13" spans="1:16" x14ac:dyDescent="0.25">
      <c r="A13" s="7" t="s">
        <v>46</v>
      </c>
      <c r="B13" s="7"/>
      <c r="C13" s="7" t="s">
        <v>45</v>
      </c>
      <c r="D13" s="15">
        <f>0.046*3.14*1.8*D10*$D5*D20*$L5</f>
        <v>334.60970400000019</v>
      </c>
      <c r="E13" s="15">
        <f t="shared" ref="E13:O13" si="2">0.046*3.14*1.8*E10*$D5*E20*$L5</f>
        <v>1635.3288806400005</v>
      </c>
      <c r="F13" s="15">
        <f t="shared" si="2"/>
        <v>2099.7265910400006</v>
      </c>
      <c r="G13" s="15">
        <f t="shared" si="2"/>
        <v>2786.3862624000003</v>
      </c>
      <c r="H13" s="15">
        <f t="shared" si="2"/>
        <v>3256.4621980800007</v>
      </c>
      <c r="I13" s="15">
        <f t="shared" si="2"/>
        <v>3066.2416512000009</v>
      </c>
      <c r="J13" s="15">
        <f t="shared" si="2"/>
        <v>1618.2942048000007</v>
      </c>
      <c r="K13" s="15">
        <f t="shared" si="2"/>
        <v>3093.0104275200006</v>
      </c>
      <c r="L13" s="15">
        <f t="shared" si="2"/>
        <v>2506.5308736000006</v>
      </c>
      <c r="M13" s="15">
        <f t="shared" si="2"/>
        <v>1885.9819680000007</v>
      </c>
      <c r="N13" s="15">
        <f t="shared" si="2"/>
        <v>1265.4330624000004</v>
      </c>
      <c r="O13" s="15">
        <f t="shared" si="2"/>
        <v>1005.8570496000003</v>
      </c>
      <c r="P13" s="15">
        <f>SUM(D13:O13)</f>
        <v>24553.862873280003</v>
      </c>
    </row>
    <row r="14" spans="1:16" x14ac:dyDescent="0.25">
      <c r="A14" s="7" t="s">
        <v>47</v>
      </c>
      <c r="B14" s="7"/>
      <c r="C14" s="7" t="s">
        <v>45</v>
      </c>
      <c r="D14" s="15">
        <f t="shared" ref="D14:O14" si="3">D13+D12</f>
        <v>453.38585323680024</v>
      </c>
      <c r="E14" s="15">
        <f t="shared" si="3"/>
        <v>2364.3024995923206</v>
      </c>
      <c r="F14" s="15">
        <f t="shared" si="3"/>
        <v>2910.5237794665609</v>
      </c>
      <c r="G14" s="15">
        <f t="shared" si="3"/>
        <v>3848.1730510320003</v>
      </c>
      <c r="H14" s="15">
        <f t="shared" si="3"/>
        <v>4673.4976512475205</v>
      </c>
      <c r="I14" s="15">
        <f t="shared" si="3"/>
        <v>3991.2559043472011</v>
      </c>
      <c r="J14" s="15">
        <f t="shared" si="3"/>
        <v>2154.5865149904007</v>
      </c>
      <c r="K14" s="15">
        <f t="shared" si="3"/>
        <v>4528.6421464771211</v>
      </c>
      <c r="L14" s="15">
        <f t="shared" si="3"/>
        <v>3474.736453742401</v>
      </c>
      <c r="M14" s="15">
        <f t="shared" si="3"/>
        <v>2529.4127643201609</v>
      </c>
      <c r="N14" s="15">
        <f t="shared" si="3"/>
        <v>1704.5448868512003</v>
      </c>
      <c r="O14" s="15">
        <f t="shared" si="3"/>
        <v>1385.2208717078404</v>
      </c>
      <c r="P14" s="15">
        <f>SUM(D14:O14)</f>
        <v>34018.282377011528</v>
      </c>
    </row>
    <row r="15" spans="1:16" x14ac:dyDescent="0.25">
      <c r="A15" s="7"/>
      <c r="B15" s="7"/>
      <c r="C15" s="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16" x14ac:dyDescent="0.25">
      <c r="A16" s="9" t="s">
        <v>50</v>
      </c>
      <c r="B16" s="9"/>
      <c r="C16" s="9" t="s">
        <v>45</v>
      </c>
      <c r="D16" s="16">
        <f t="shared" ref="D16:O16" si="4">D14*$H4*$H5</f>
        <v>181.35434129472011</v>
      </c>
      <c r="E16" s="16">
        <f t="shared" si="4"/>
        <v>945.72099983692829</v>
      </c>
      <c r="F16" s="16">
        <f t="shared" si="4"/>
        <v>1164.2095117866245</v>
      </c>
      <c r="G16" s="16">
        <f t="shared" si="4"/>
        <v>1539.2692204128002</v>
      </c>
      <c r="H16" s="16">
        <f t="shared" si="4"/>
        <v>1869.3990604990083</v>
      </c>
      <c r="I16" s="16">
        <f t="shared" si="4"/>
        <v>1596.5023617388806</v>
      </c>
      <c r="J16" s="16">
        <f t="shared" si="4"/>
        <v>861.83460599616035</v>
      </c>
      <c r="K16" s="16">
        <f t="shared" si="4"/>
        <v>1811.4568585908485</v>
      </c>
      <c r="L16" s="16">
        <f t="shared" si="4"/>
        <v>1389.8945814969604</v>
      </c>
      <c r="M16" s="16">
        <f t="shared" si="4"/>
        <v>1011.7651057280644</v>
      </c>
      <c r="N16" s="16">
        <f t="shared" si="4"/>
        <v>681.81795474048022</v>
      </c>
      <c r="O16" s="16">
        <f t="shared" si="4"/>
        <v>554.08834868313613</v>
      </c>
      <c r="P16" s="17">
        <f>SUM(D16:O16)</f>
        <v>13607.312950804611</v>
      </c>
    </row>
    <row r="17" spans="1:19" x14ac:dyDescent="0.25">
      <c r="A17" s="9" t="s">
        <v>50</v>
      </c>
      <c r="B17" s="84"/>
      <c r="C17" s="84" t="s">
        <v>48</v>
      </c>
      <c r="D17" s="48">
        <f>D16/31</f>
        <v>5.8501400417651652</v>
      </c>
      <c r="E17" s="48">
        <f>E16/28</f>
        <v>33.77574999417601</v>
      </c>
      <c r="F17" s="48">
        <f t="shared" ref="F17:O17" si="5">F16/31</f>
        <v>37.555145541504018</v>
      </c>
      <c r="G17" s="48">
        <f>G16/30</f>
        <v>51.308974013760007</v>
      </c>
      <c r="H17" s="48">
        <f t="shared" si="5"/>
        <v>60.303195499968012</v>
      </c>
      <c r="I17" s="48">
        <f>I16/30</f>
        <v>53.216745391296023</v>
      </c>
      <c r="J17" s="48">
        <f t="shared" si="5"/>
        <v>27.801116322456785</v>
      </c>
      <c r="K17" s="48">
        <f t="shared" si="5"/>
        <v>58.434092212608014</v>
      </c>
      <c r="L17" s="48">
        <f>L16/30</f>
        <v>46.329819383232014</v>
      </c>
      <c r="M17" s="48">
        <f t="shared" si="5"/>
        <v>32.637584055744014</v>
      </c>
      <c r="N17" s="48">
        <f>N16/30</f>
        <v>22.727265158016007</v>
      </c>
      <c r="O17" s="48">
        <f t="shared" si="5"/>
        <v>17.873817699456005</v>
      </c>
      <c r="P17" s="15"/>
    </row>
    <row r="18" spans="1:19" x14ac:dyDescent="0.25">
      <c r="A18" s="18" t="s">
        <v>25</v>
      </c>
      <c r="B18" s="18"/>
      <c r="C18" s="18"/>
      <c r="D18" s="34">
        <f>'Input-data'!B15</f>
        <v>942</v>
      </c>
      <c r="E18" s="34">
        <f>'Input-data'!C15</f>
        <v>942</v>
      </c>
      <c r="F18" s="34">
        <f>'Input-data'!D15</f>
        <v>942</v>
      </c>
      <c r="G18" s="34">
        <f>'Input-data'!E15</f>
        <v>942</v>
      </c>
      <c r="H18" s="34">
        <f>'Input-data'!F15</f>
        <v>942</v>
      </c>
      <c r="I18" s="34">
        <f>'Input-data'!G15</f>
        <v>942</v>
      </c>
      <c r="J18" s="34">
        <f>'Input-data'!H15</f>
        <v>942</v>
      </c>
      <c r="K18" s="34">
        <f>'Input-data'!I15</f>
        <v>942</v>
      </c>
      <c r="L18" s="34">
        <f>'Input-data'!J15</f>
        <v>942</v>
      </c>
      <c r="M18" s="34">
        <f>'Input-data'!K15</f>
        <v>942</v>
      </c>
      <c r="N18" s="34">
        <f>'Input-data'!L15</f>
        <v>942</v>
      </c>
      <c r="O18" s="34">
        <f>'Input-data'!M15</f>
        <v>942</v>
      </c>
      <c r="P18" s="19"/>
      <c r="Q18" s="37"/>
      <c r="R18" s="39"/>
    </row>
    <row r="19" spans="1:19" x14ac:dyDescent="0.25">
      <c r="A19" s="20" t="s">
        <v>49</v>
      </c>
      <c r="B19" s="85"/>
      <c r="C19" s="84" t="s">
        <v>48</v>
      </c>
      <c r="D19" s="21">
        <f t="shared" ref="D19:O19" si="6">D18*($D37-D11)/860</f>
        <v>79.412790697674424</v>
      </c>
      <c r="E19" s="21">
        <f t="shared" si="6"/>
        <v>79.084186046511633</v>
      </c>
      <c r="F19" s="21">
        <f t="shared" si="6"/>
        <v>77.331627906976735</v>
      </c>
      <c r="G19" s="21">
        <f t="shared" si="6"/>
        <v>75.579069767441865</v>
      </c>
      <c r="H19" s="21">
        <f t="shared" si="6"/>
        <v>74.483720930232565</v>
      </c>
      <c r="I19" s="21">
        <f t="shared" si="6"/>
        <v>72.293023255813949</v>
      </c>
      <c r="J19" s="21">
        <f t="shared" si="6"/>
        <v>71.197674418604649</v>
      </c>
      <c r="K19" s="21">
        <f t="shared" si="6"/>
        <v>71.197674418604649</v>
      </c>
      <c r="L19" s="21">
        <f t="shared" si="6"/>
        <v>72.293023255813949</v>
      </c>
      <c r="M19" s="21">
        <f t="shared" si="6"/>
        <v>75.579069767441865</v>
      </c>
      <c r="N19" s="21">
        <f t="shared" si="6"/>
        <v>77.441162790697689</v>
      </c>
      <c r="O19" s="21">
        <f t="shared" si="6"/>
        <v>79.084186046511633</v>
      </c>
      <c r="P19" s="14"/>
    </row>
    <row r="20" spans="1:19" x14ac:dyDescent="0.25">
      <c r="A20" s="22" t="s">
        <v>21</v>
      </c>
      <c r="B20" s="22"/>
      <c r="C20" s="22"/>
      <c r="D20" s="23">
        <f>'Input-data'!B16</f>
        <v>15</v>
      </c>
      <c r="E20" s="23">
        <f>'Input-data'!C16</f>
        <v>28</v>
      </c>
      <c r="F20" s="23">
        <f>'Input-data'!D16</f>
        <v>31</v>
      </c>
      <c r="G20" s="23">
        <f>'Input-data'!E16</f>
        <v>30</v>
      </c>
      <c r="H20" s="23">
        <f>'Input-data'!F16</f>
        <v>31</v>
      </c>
      <c r="I20" s="23">
        <f>'Input-data'!G16</f>
        <v>30</v>
      </c>
      <c r="J20" s="23">
        <f>'Input-data'!H16</f>
        <v>15</v>
      </c>
      <c r="K20" s="23">
        <f>'Input-data'!I16</f>
        <v>31</v>
      </c>
      <c r="L20" s="23">
        <f>'Input-data'!J16</f>
        <v>30</v>
      </c>
      <c r="M20" s="23">
        <f>'Input-data'!K16</f>
        <v>31</v>
      </c>
      <c r="N20" s="23">
        <f>'Input-data'!L16</f>
        <v>30</v>
      </c>
      <c r="O20" s="23">
        <f>'Input-data'!M16</f>
        <v>31</v>
      </c>
      <c r="P20" s="14">
        <f>SUM(D20:O20)</f>
        <v>333</v>
      </c>
    </row>
    <row r="21" spans="1:19" x14ac:dyDescent="0.25">
      <c r="A21" s="22" t="s">
        <v>31</v>
      </c>
      <c r="B21" s="22"/>
      <c r="C21" s="22"/>
      <c r="D21" s="23">
        <f>D18*D20</f>
        <v>14130</v>
      </c>
      <c r="E21" s="23">
        <f t="shared" ref="E21:O21" si="7">E18*E20</f>
        <v>26376</v>
      </c>
      <c r="F21" s="23">
        <f t="shared" si="7"/>
        <v>29202</v>
      </c>
      <c r="G21" s="23">
        <f t="shared" si="7"/>
        <v>28260</v>
      </c>
      <c r="H21" s="23">
        <f t="shared" si="7"/>
        <v>29202</v>
      </c>
      <c r="I21" s="23">
        <f t="shared" si="7"/>
        <v>28260</v>
      </c>
      <c r="J21" s="23">
        <f t="shared" si="7"/>
        <v>14130</v>
      </c>
      <c r="K21" s="23">
        <f t="shared" si="7"/>
        <v>29202</v>
      </c>
      <c r="L21" s="23">
        <f t="shared" si="7"/>
        <v>28260</v>
      </c>
      <c r="M21" s="23">
        <f t="shared" si="7"/>
        <v>29202</v>
      </c>
      <c r="N21" s="23">
        <f t="shared" si="7"/>
        <v>28260</v>
      </c>
      <c r="O21" s="23">
        <f t="shared" si="7"/>
        <v>29202</v>
      </c>
      <c r="P21" s="14">
        <f>SUM(D21:O21)</f>
        <v>313686</v>
      </c>
    </row>
    <row r="22" spans="1:19" x14ac:dyDescent="0.25">
      <c r="A22" s="9" t="s">
        <v>59</v>
      </c>
      <c r="B22" s="9" t="s">
        <v>51</v>
      </c>
      <c r="C22" s="9" t="s">
        <v>45</v>
      </c>
      <c r="D22" s="78">
        <f>D19*D20</f>
        <v>1191.1918604651164</v>
      </c>
      <c r="E22" s="78">
        <f t="shared" ref="E22:O22" si="8">E19*E20</f>
        <v>2214.3572093023258</v>
      </c>
      <c r="F22" s="78">
        <f t="shared" si="8"/>
        <v>2397.2804651162787</v>
      </c>
      <c r="G22" s="78">
        <f t="shared" si="8"/>
        <v>2267.3720930232557</v>
      </c>
      <c r="H22" s="78">
        <f t="shared" si="8"/>
        <v>2308.9953488372093</v>
      </c>
      <c r="I22" s="78">
        <f t="shared" si="8"/>
        <v>2168.7906976744184</v>
      </c>
      <c r="J22" s="78">
        <f t="shared" si="8"/>
        <v>1067.9651162790697</v>
      </c>
      <c r="K22" s="78">
        <f t="shared" si="8"/>
        <v>2207.1279069767443</v>
      </c>
      <c r="L22" s="78">
        <f t="shared" si="8"/>
        <v>2168.7906976744184</v>
      </c>
      <c r="M22" s="78">
        <f t="shared" si="8"/>
        <v>2342.9511627906977</v>
      </c>
      <c r="N22" s="78">
        <f t="shared" si="8"/>
        <v>2323.2348837209306</v>
      </c>
      <c r="O22" s="78">
        <f t="shared" si="8"/>
        <v>2451.6097674418606</v>
      </c>
      <c r="P22" s="78">
        <f>SUM(D22:O22)</f>
        <v>25109.667209302326</v>
      </c>
      <c r="Q22" s="37"/>
      <c r="S22" s="43"/>
    </row>
    <row r="23" spans="1:19" x14ac:dyDescent="0.25">
      <c r="A23" s="7" t="s">
        <v>26</v>
      </c>
      <c r="C23" s="7"/>
      <c r="D23" s="15">
        <f t="shared" ref="D23:O23" si="9">$D38*D22/(1-$D38)</f>
        <v>699.58887043189372</v>
      </c>
      <c r="E23" s="15">
        <f t="shared" si="9"/>
        <v>1300.495503875969</v>
      </c>
      <c r="F23" s="15">
        <f t="shared" si="9"/>
        <v>1407.926622369878</v>
      </c>
      <c r="G23" s="15">
        <f t="shared" si="9"/>
        <v>1331.6312292358803</v>
      </c>
      <c r="H23" s="15">
        <f t="shared" si="9"/>
        <v>1356.0766334440752</v>
      </c>
      <c r="I23" s="15">
        <f t="shared" si="9"/>
        <v>1273.7342192691031</v>
      </c>
      <c r="J23" s="15">
        <f t="shared" si="9"/>
        <v>627.21760797342188</v>
      </c>
      <c r="K23" s="15">
        <f t="shared" si="9"/>
        <v>1296.2497231450718</v>
      </c>
      <c r="L23" s="15">
        <f t="shared" si="9"/>
        <v>1273.7342192691031</v>
      </c>
      <c r="M23" s="15">
        <f t="shared" si="9"/>
        <v>1376.0189368770764</v>
      </c>
      <c r="N23" s="15">
        <f t="shared" si="9"/>
        <v>1364.4395348837211</v>
      </c>
      <c r="O23" s="15">
        <f t="shared" si="9"/>
        <v>1439.8343078626799</v>
      </c>
      <c r="P23" s="15">
        <f>SUM(D23:O23)</f>
        <v>14746.947408637874</v>
      </c>
    </row>
    <row r="24" spans="1:19" x14ac:dyDescent="0.25">
      <c r="A24" s="9" t="s">
        <v>60</v>
      </c>
      <c r="B24" s="7" t="s">
        <v>52</v>
      </c>
      <c r="C24" s="9" t="s">
        <v>45</v>
      </c>
      <c r="D24" s="15">
        <f>D22+D23</f>
        <v>1890.78073089701</v>
      </c>
      <c r="E24" s="15">
        <f t="shared" ref="E24:O24" si="10">E22+E23</f>
        <v>3514.8527131782948</v>
      </c>
      <c r="F24" s="15">
        <f t="shared" si="10"/>
        <v>3805.2070874861565</v>
      </c>
      <c r="G24" s="15">
        <f t="shared" si="10"/>
        <v>3599.003322259136</v>
      </c>
      <c r="H24" s="15">
        <f t="shared" si="10"/>
        <v>3665.0719822812844</v>
      </c>
      <c r="I24" s="15">
        <f t="shared" si="10"/>
        <v>3442.5249169435215</v>
      </c>
      <c r="J24" s="15">
        <f t="shared" si="10"/>
        <v>1695.1827242524914</v>
      </c>
      <c r="K24" s="15">
        <f t="shared" si="10"/>
        <v>3503.3776301218159</v>
      </c>
      <c r="L24" s="15">
        <f t="shared" si="10"/>
        <v>3442.5249169435215</v>
      </c>
      <c r="M24" s="15">
        <f t="shared" si="10"/>
        <v>3718.9700996677739</v>
      </c>
      <c r="N24" s="15">
        <f t="shared" si="10"/>
        <v>3687.6744186046517</v>
      </c>
      <c r="O24" s="15">
        <f t="shared" si="10"/>
        <v>3891.4440753045405</v>
      </c>
      <c r="P24" s="24">
        <f>SUM(D24:O24)</f>
        <v>39856.614617940206</v>
      </c>
      <c r="Q24" s="37"/>
      <c r="R24" s="38"/>
      <c r="S24" s="43"/>
    </row>
    <row r="25" spans="1:19" x14ac:dyDescent="0.25">
      <c r="A25" s="9" t="s">
        <v>61</v>
      </c>
      <c r="B25" s="7" t="s">
        <v>52</v>
      </c>
      <c r="C25" s="84" t="s">
        <v>48</v>
      </c>
      <c r="D25" s="49">
        <f>D24/31</f>
        <v>60.992926803129357</v>
      </c>
      <c r="E25" s="49">
        <f>E24/28</f>
        <v>125.53045404208196</v>
      </c>
      <c r="F25" s="49">
        <f t="shared" ref="F25:O25" si="11">F24/31</f>
        <v>122.74861572535988</v>
      </c>
      <c r="G25" s="49">
        <f>G24/30</f>
        <v>119.96677740863787</v>
      </c>
      <c r="H25" s="49">
        <f t="shared" si="11"/>
        <v>118.22812846068659</v>
      </c>
      <c r="I25" s="49">
        <f>I24/30</f>
        <v>114.75083056478405</v>
      </c>
      <c r="J25" s="49">
        <f t="shared" si="11"/>
        <v>54.683313685564237</v>
      </c>
      <c r="K25" s="49">
        <f t="shared" si="11"/>
        <v>113.01218161683276</v>
      </c>
      <c r="L25" s="49">
        <f>L24/30</f>
        <v>114.75083056478405</v>
      </c>
      <c r="M25" s="49">
        <f t="shared" si="11"/>
        <v>119.96677740863787</v>
      </c>
      <c r="N25" s="49">
        <f>N24/30</f>
        <v>122.92248062015506</v>
      </c>
      <c r="O25" s="49">
        <f t="shared" si="11"/>
        <v>125.53045404208196</v>
      </c>
      <c r="P25" s="14"/>
      <c r="S25" s="44"/>
    </row>
    <row r="26" spans="1:19" x14ac:dyDescent="0.25">
      <c r="A26" s="7" t="s">
        <v>62</v>
      </c>
      <c r="B26" s="86"/>
      <c r="C26" s="84" t="s">
        <v>48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14"/>
      <c r="S26" s="42"/>
    </row>
    <row r="27" spans="1:19" x14ac:dyDescent="0.25">
      <c r="A27" s="7" t="s">
        <v>63</v>
      </c>
      <c r="B27" s="7"/>
      <c r="C27" s="7" t="s">
        <v>45</v>
      </c>
      <c r="D27" s="14">
        <f>D26*31</f>
        <v>0</v>
      </c>
      <c r="E27" s="14">
        <f>E26*28</f>
        <v>0</v>
      </c>
      <c r="F27" s="14">
        <f>F26*31</f>
        <v>0</v>
      </c>
      <c r="G27" s="14">
        <f>G26*30</f>
        <v>0</v>
      </c>
      <c r="H27" s="14">
        <f>H26*31</f>
        <v>0</v>
      </c>
      <c r="I27" s="14">
        <f>I26*30</f>
        <v>0</v>
      </c>
      <c r="J27" s="14">
        <f>J26*31</f>
        <v>0</v>
      </c>
      <c r="K27" s="14">
        <f>K26*31</f>
        <v>0</v>
      </c>
      <c r="L27" s="14">
        <f>L26*30</f>
        <v>0</v>
      </c>
      <c r="M27" s="14">
        <f>M26*31</f>
        <v>0</v>
      </c>
      <c r="N27" s="14">
        <f>N26*30</f>
        <v>0</v>
      </c>
      <c r="O27" s="14">
        <f>O26*31</f>
        <v>0</v>
      </c>
      <c r="P27" s="14">
        <f>SUM(D27:O27)</f>
        <v>0</v>
      </c>
    </row>
    <row r="28" spans="1:19" x14ac:dyDescent="0.25">
      <c r="A28" s="9" t="s">
        <v>60</v>
      </c>
      <c r="B28" s="7" t="s">
        <v>52</v>
      </c>
      <c r="C28" s="9" t="s">
        <v>45</v>
      </c>
      <c r="D28" s="15">
        <f t="shared" ref="D28:O28" si="12">D24+D27</f>
        <v>1890.78073089701</v>
      </c>
      <c r="E28" s="15">
        <f t="shared" si="12"/>
        <v>3514.8527131782948</v>
      </c>
      <c r="F28" s="15">
        <f t="shared" si="12"/>
        <v>3805.2070874861565</v>
      </c>
      <c r="G28" s="15">
        <f t="shared" si="12"/>
        <v>3599.003322259136</v>
      </c>
      <c r="H28" s="15">
        <f t="shared" si="12"/>
        <v>3665.0719822812844</v>
      </c>
      <c r="I28" s="15">
        <f t="shared" si="12"/>
        <v>3442.5249169435215</v>
      </c>
      <c r="J28" s="15">
        <f t="shared" si="12"/>
        <v>1695.1827242524914</v>
      </c>
      <c r="K28" s="15">
        <f t="shared" si="12"/>
        <v>3503.3776301218159</v>
      </c>
      <c r="L28" s="15">
        <f t="shared" si="12"/>
        <v>3442.5249169435215</v>
      </c>
      <c r="M28" s="15">
        <f t="shared" si="12"/>
        <v>3718.9700996677739</v>
      </c>
      <c r="N28" s="15">
        <f t="shared" si="12"/>
        <v>3687.6744186046517</v>
      </c>
      <c r="O28" s="15">
        <f t="shared" si="12"/>
        <v>3891.4440753045405</v>
      </c>
      <c r="P28" s="24">
        <f>SUM(D28:O28)</f>
        <v>39856.614617940206</v>
      </c>
    </row>
    <row r="29" spans="1:19" x14ac:dyDescent="0.25">
      <c r="A29" s="9" t="s">
        <v>64</v>
      </c>
      <c r="B29" s="7" t="s">
        <v>52</v>
      </c>
      <c r="C29" s="9" t="s">
        <v>45</v>
      </c>
      <c r="D29" s="24">
        <f t="shared" ref="D29:O29" si="13">(D22+D27)+D23*(1-$D39)</f>
        <v>1540.9862956810632</v>
      </c>
      <c r="E29" s="24">
        <f t="shared" si="13"/>
        <v>2864.6049612403103</v>
      </c>
      <c r="F29" s="24">
        <f t="shared" si="13"/>
        <v>3101.2437763012176</v>
      </c>
      <c r="G29" s="24">
        <f t="shared" si="13"/>
        <v>2933.1877076411956</v>
      </c>
      <c r="H29" s="24">
        <f t="shared" si="13"/>
        <v>2987.0336655592469</v>
      </c>
      <c r="I29" s="24">
        <f t="shared" si="13"/>
        <v>2805.65780730897</v>
      </c>
      <c r="J29" s="24">
        <f t="shared" si="13"/>
        <v>1381.5739202657805</v>
      </c>
      <c r="K29" s="24">
        <f t="shared" si="13"/>
        <v>2855.2527685492801</v>
      </c>
      <c r="L29" s="24">
        <f t="shared" si="13"/>
        <v>2805.65780730897</v>
      </c>
      <c r="M29" s="24">
        <f t="shared" si="13"/>
        <v>3030.9606312292358</v>
      </c>
      <c r="N29" s="24">
        <f t="shared" si="13"/>
        <v>3005.4546511627914</v>
      </c>
      <c r="O29" s="24">
        <f t="shared" si="13"/>
        <v>3171.5269213732008</v>
      </c>
      <c r="P29" s="24">
        <f>SUM(D29:O29)</f>
        <v>32483.140913621261</v>
      </c>
      <c r="Q29" s="37"/>
    </row>
    <row r="30" spans="1:19" x14ac:dyDescent="0.25">
      <c r="A30" s="9" t="s">
        <v>65</v>
      </c>
      <c r="B30" s="7" t="s">
        <v>52</v>
      </c>
      <c r="C30" s="84" t="s">
        <v>48</v>
      </c>
      <c r="D30" s="47">
        <f>D29/D20</f>
        <v>102.73241971207088</v>
      </c>
      <c r="E30" s="47">
        <f t="shared" ref="E30:O30" si="14">E29/E20</f>
        <v>102.3073200442968</v>
      </c>
      <c r="F30" s="47">
        <f t="shared" si="14"/>
        <v>100.04012181616831</v>
      </c>
      <c r="G30" s="47">
        <f t="shared" si="14"/>
        <v>97.772923588039859</v>
      </c>
      <c r="H30" s="47">
        <f t="shared" si="14"/>
        <v>96.355924695459578</v>
      </c>
      <c r="I30" s="47">
        <f t="shared" si="14"/>
        <v>93.521926910299001</v>
      </c>
      <c r="J30" s="47">
        <f t="shared" si="14"/>
        <v>92.104928017718706</v>
      </c>
      <c r="K30" s="47">
        <f t="shared" si="14"/>
        <v>92.104928017718706</v>
      </c>
      <c r="L30" s="47">
        <f t="shared" si="14"/>
        <v>93.521926910299001</v>
      </c>
      <c r="M30" s="47">
        <f t="shared" si="14"/>
        <v>97.772923588039859</v>
      </c>
      <c r="N30" s="47">
        <f t="shared" si="14"/>
        <v>100.18182170542637</v>
      </c>
      <c r="O30" s="47">
        <f t="shared" si="14"/>
        <v>102.3073200442968</v>
      </c>
      <c r="P30" s="15"/>
      <c r="Q30" s="37"/>
    </row>
    <row r="31" spans="1:19" x14ac:dyDescent="0.25">
      <c r="A31" s="7"/>
      <c r="B31" s="7"/>
      <c r="C31" s="7"/>
      <c r="D31" s="26" t="b">
        <f>IF(D16&lt;D29,TRUE)</f>
        <v>1</v>
      </c>
      <c r="E31" s="26" t="b">
        <f t="shared" ref="E31:O31" si="15">IF(E16&lt;E29,TRUE)</f>
        <v>1</v>
      </c>
      <c r="F31" s="26" t="b">
        <f t="shared" si="15"/>
        <v>1</v>
      </c>
      <c r="G31" s="26" t="b">
        <f t="shared" si="15"/>
        <v>1</v>
      </c>
      <c r="H31" s="26" t="b">
        <f t="shared" si="15"/>
        <v>1</v>
      </c>
      <c r="I31" s="26" t="b">
        <f t="shared" si="15"/>
        <v>1</v>
      </c>
      <c r="J31" s="26" t="b">
        <f t="shared" si="15"/>
        <v>1</v>
      </c>
      <c r="K31" s="26" t="b">
        <f t="shared" si="15"/>
        <v>1</v>
      </c>
      <c r="L31" s="26" t="b">
        <f t="shared" si="15"/>
        <v>1</v>
      </c>
      <c r="M31" s="26" t="b">
        <f t="shared" si="15"/>
        <v>1</v>
      </c>
      <c r="N31" s="26" t="b">
        <f t="shared" si="15"/>
        <v>1</v>
      </c>
      <c r="O31" s="26" t="b">
        <f t="shared" si="15"/>
        <v>1</v>
      </c>
      <c r="P31" s="14"/>
    </row>
    <row r="32" spans="1:19" x14ac:dyDescent="0.25">
      <c r="A32" s="76" t="s">
        <v>33</v>
      </c>
      <c r="B32" s="7" t="s">
        <v>53</v>
      </c>
      <c r="C32" s="76" t="s">
        <v>45</v>
      </c>
      <c r="D32" s="77">
        <f>IF(D31,D17,D22/D20)*D20</f>
        <v>87.752100626477471</v>
      </c>
      <c r="E32" s="77">
        <f t="shared" ref="E32:O32" si="16">IF(E31,E17,E22/E20)*E20</f>
        <v>945.72099983692829</v>
      </c>
      <c r="F32" s="77">
        <f t="shared" si="16"/>
        <v>1164.2095117866245</v>
      </c>
      <c r="G32" s="77">
        <f t="shared" si="16"/>
        <v>1539.2692204128002</v>
      </c>
      <c r="H32" s="77">
        <f t="shared" si="16"/>
        <v>1869.3990604990083</v>
      </c>
      <c r="I32" s="77">
        <f t="shared" si="16"/>
        <v>1596.5023617388806</v>
      </c>
      <c r="J32" s="77">
        <f t="shared" si="16"/>
        <v>417.01674483685179</v>
      </c>
      <c r="K32" s="77">
        <f t="shared" si="16"/>
        <v>1811.4568585908485</v>
      </c>
      <c r="L32" s="77">
        <f t="shared" si="16"/>
        <v>1389.8945814969604</v>
      </c>
      <c r="M32" s="77">
        <f t="shared" si="16"/>
        <v>1011.7651057280644</v>
      </c>
      <c r="N32" s="77">
        <f t="shared" si="16"/>
        <v>681.81795474048022</v>
      </c>
      <c r="O32" s="77">
        <f t="shared" si="16"/>
        <v>554.08834868313613</v>
      </c>
      <c r="P32" s="78">
        <f>SUM(D32:O32)</f>
        <v>13068.892848977061</v>
      </c>
      <c r="Q32" s="37"/>
      <c r="R32" s="39"/>
      <c r="S32" s="2"/>
    </row>
    <row r="33" spans="1:20" x14ac:dyDescent="0.25">
      <c r="A33" s="9" t="s">
        <v>42</v>
      </c>
      <c r="B33" s="7" t="s">
        <v>54</v>
      </c>
      <c r="C33" s="76" t="s">
        <v>45</v>
      </c>
      <c r="D33" s="15">
        <f>IF((D22-D32)&gt;0,(D22-D32)*(1+$D38),0)</f>
        <v>1511.7124709789355</v>
      </c>
      <c r="E33" s="15">
        <f t="shared" ref="E33:O33" si="17">IF((E22-E32)&gt;0,(E22-E32)*(1+$D38),0)</f>
        <v>1738.0316069675948</v>
      </c>
      <c r="F33" s="15">
        <f t="shared" si="17"/>
        <v>1689.3072060616264</v>
      </c>
      <c r="G33" s="15">
        <f t="shared" si="17"/>
        <v>997.50093547632412</v>
      </c>
      <c r="H33" s="15">
        <f t="shared" si="17"/>
        <v>602.24691502333542</v>
      </c>
      <c r="I33" s="15">
        <f t="shared" si="17"/>
        <v>784.03502023168687</v>
      </c>
      <c r="J33" s="15">
        <f t="shared" si="17"/>
        <v>891.79926887583861</v>
      </c>
      <c r="K33" s="15">
        <f t="shared" si="17"/>
        <v>542.06933628867728</v>
      </c>
      <c r="L33" s="15">
        <f t="shared" si="17"/>
        <v>1067.0876791631176</v>
      </c>
      <c r="M33" s="15">
        <f t="shared" si="17"/>
        <v>1823.7248981758075</v>
      </c>
      <c r="N33" s="15">
        <f t="shared" si="17"/>
        <v>2248.7411927032172</v>
      </c>
      <c r="O33" s="15">
        <f t="shared" si="17"/>
        <v>2599.6043436994528</v>
      </c>
      <c r="P33" s="24">
        <f>SUM(D33:O33)</f>
        <v>16495.860873645615</v>
      </c>
      <c r="Q33" s="37"/>
    </row>
    <row r="34" spans="1:20" x14ac:dyDescent="0.25">
      <c r="A34" s="25"/>
      <c r="B34" s="25"/>
      <c r="C34" s="25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37"/>
      <c r="T34" s="39"/>
    </row>
    <row r="35" spans="1:20" x14ac:dyDescent="0.25">
      <c r="A35" s="25" t="s">
        <v>56</v>
      </c>
      <c r="B35" s="25" t="s">
        <v>55</v>
      </c>
      <c r="C35" s="25"/>
      <c r="D35" s="27">
        <f t="shared" ref="D35:O35" si="18">IF(D32&lt;D22,D32,D22)/D22</f>
        <v>7.3667478379354875E-2</v>
      </c>
      <c r="E35" s="27">
        <f t="shared" si="18"/>
        <v>0.42708601659390588</v>
      </c>
      <c r="F35" s="27">
        <f t="shared" si="18"/>
        <v>0.4856375917325782</v>
      </c>
      <c r="G35" s="27">
        <f t="shared" si="18"/>
        <v>0.67887808320000009</v>
      </c>
      <c r="H35" s="27">
        <f t="shared" si="18"/>
        <v>0.8096157757270589</v>
      </c>
      <c r="I35" s="27">
        <f t="shared" si="18"/>
        <v>0.73612560375272762</v>
      </c>
      <c r="J35" s="27">
        <f t="shared" si="18"/>
        <v>0.39047787093439223</v>
      </c>
      <c r="K35" s="27">
        <f t="shared" si="18"/>
        <v>0.82073034954830792</v>
      </c>
      <c r="L35" s="27">
        <f t="shared" si="18"/>
        <v>0.64086155616000029</v>
      </c>
      <c r="M35" s="27">
        <f t="shared" si="18"/>
        <v>0.4318336300800002</v>
      </c>
      <c r="N35" s="27">
        <f t="shared" si="18"/>
        <v>0.29347783967864222</v>
      </c>
      <c r="O35" s="27">
        <f t="shared" si="18"/>
        <v>0.22601001025595571</v>
      </c>
      <c r="P35" s="27">
        <f>P32/P22</f>
        <v>0.520472563018894</v>
      </c>
      <c r="Q35" s="37"/>
      <c r="R35" s="40"/>
      <c r="S35" s="41"/>
    </row>
    <row r="36" spans="1:20" x14ac:dyDescent="0.2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</row>
    <row r="37" spans="1:20" x14ac:dyDescent="0.25">
      <c r="A37" s="30" t="s">
        <v>24</v>
      </c>
      <c r="B37" s="30"/>
      <c r="C37" s="30"/>
      <c r="D37" s="34">
        <f>'Input-data'!B18</f>
        <v>80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</row>
    <row r="38" spans="1:20" x14ac:dyDescent="0.25">
      <c r="A38" s="18" t="s">
        <v>26</v>
      </c>
      <c r="B38" s="18"/>
      <c r="C38" s="18"/>
      <c r="D38" s="74">
        <f>'Input-data'!B19</f>
        <v>0.37</v>
      </c>
      <c r="E38" s="75" t="e">
        <f>1-P22/(M2*12.8)</f>
        <v>#REF!</v>
      </c>
      <c r="G38" s="29"/>
      <c r="I38" s="29"/>
      <c r="J38" s="29"/>
      <c r="K38" s="29"/>
      <c r="L38" s="29"/>
      <c r="M38" s="29"/>
      <c r="N38" s="29"/>
      <c r="O38" s="29"/>
      <c r="P38" s="29"/>
    </row>
    <row r="39" spans="1:20" x14ac:dyDescent="0.25">
      <c r="A39" s="18" t="s">
        <v>27</v>
      </c>
      <c r="B39" s="18"/>
      <c r="C39" s="18"/>
      <c r="D39" s="52">
        <v>0.5</v>
      </c>
      <c r="E39" s="29"/>
      <c r="F39" s="29"/>
      <c r="G39" s="31"/>
      <c r="H39" s="29"/>
      <c r="I39" s="32"/>
      <c r="J39" s="32"/>
      <c r="K39" s="29"/>
      <c r="L39" s="29"/>
      <c r="M39" s="29"/>
      <c r="N39" s="29"/>
      <c r="O39" s="29"/>
      <c r="P39" s="29"/>
    </row>
    <row r="40" spans="1:20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</row>
    <row r="41" spans="1:20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33"/>
      <c r="K41" s="29"/>
      <c r="L41" s="33"/>
      <c r="M41" s="29"/>
      <c r="N41" s="33"/>
      <c r="O41" s="29"/>
      <c r="P41" s="29"/>
    </row>
  </sheetData>
  <sheetProtection sheet="1" objects="1" scenarios="1" selectLockedCells="1" selectUnlockedCells="1"/>
  <pageMargins left="0" right="0" top="0.1388888888888889" bottom="0.1388888888888889" header="0" footer="0"/>
  <pageSetup paperSize="9" firstPageNumber="0" orientation="landscape" horizontalDpi="4294967293" verticalDpi="300" r:id="rId1"/>
  <headerFooter alignWithMargins="0">
    <oddHeader>&amp;C&amp;10&amp;A</oddHeader>
    <oddFooter>&amp;C&amp;10Page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W29"/>
  <sheetViews>
    <sheetView zoomScale="60" zoomScaleNormal="60" workbookViewId="0">
      <selection activeCell="U25" sqref="U25"/>
    </sheetView>
  </sheetViews>
  <sheetFormatPr baseColWidth="10" defaultColWidth="11" defaultRowHeight="14.4" x14ac:dyDescent="0.3"/>
  <cols>
    <col min="1" max="1" width="11" style="114"/>
    <col min="2" max="2" width="4.69921875" style="114" customWidth="1"/>
    <col min="3" max="3" width="25.59765625" style="114" customWidth="1"/>
    <col min="4" max="4" width="9.09765625" style="114" customWidth="1"/>
    <col min="5" max="5" width="9.59765625" style="114" customWidth="1"/>
    <col min="6" max="11" width="11" style="114"/>
    <col min="12" max="12" width="10.3984375" style="114" customWidth="1"/>
    <col min="13" max="14" width="11" style="114"/>
    <col min="15" max="15" width="14" style="114" customWidth="1"/>
    <col min="16" max="16" width="9.8984375" style="114" customWidth="1"/>
    <col min="17" max="17" width="11" style="114"/>
    <col min="18" max="18" width="9.3984375" style="114" customWidth="1"/>
    <col min="19" max="19" width="15.8984375" style="114" customWidth="1"/>
    <col min="20" max="20" width="8.5" style="114" customWidth="1"/>
    <col min="21" max="21" width="12.09765625" style="114" customWidth="1"/>
    <col min="22" max="22" width="9.19921875" style="114" customWidth="1"/>
    <col min="23" max="16384" width="11" style="114"/>
  </cols>
  <sheetData>
    <row r="3" spans="2:23" ht="21" x14ac:dyDescent="0.4">
      <c r="H3" s="128" t="s">
        <v>126</v>
      </c>
    </row>
    <row r="5" spans="2:23" ht="18" x14ac:dyDescent="0.35">
      <c r="B5" s="319"/>
      <c r="C5" s="252" t="s">
        <v>140</v>
      </c>
      <c r="D5" s="320">
        <f>'Calcul -financement'!D5</f>
        <v>1</v>
      </c>
      <c r="E5" s="320">
        <f>'Calcul -financement'!E5</f>
        <v>2</v>
      </c>
      <c r="F5" s="320">
        <f>'Calcul -financement'!F5</f>
        <v>3</v>
      </c>
      <c r="G5" s="320">
        <f>'Calcul -financement'!G5</f>
        <v>4</v>
      </c>
      <c r="H5" s="320">
        <f>'Calcul -financement'!H5</f>
        <v>5</v>
      </c>
      <c r="I5" s="320">
        <f>'Calcul -financement'!I5</f>
        <v>6</v>
      </c>
      <c r="J5" s="320">
        <f>'Calcul -financement'!J5</f>
        <v>7</v>
      </c>
      <c r="K5" s="320">
        <f>'Calcul -financement'!K5</f>
        <v>8</v>
      </c>
      <c r="L5" s="320">
        <f>'Calcul -financement'!L5</f>
        <v>9</v>
      </c>
      <c r="M5" s="320">
        <f>'Calcul -financement'!M5</f>
        <v>10</v>
      </c>
      <c r="N5" s="320">
        <f>'Calcul -financement'!N5</f>
        <v>11</v>
      </c>
      <c r="O5" s="320">
        <f>'Calcul -financement'!O5</f>
        <v>12</v>
      </c>
      <c r="P5" s="320">
        <f>'Calcul -financement'!P5</f>
        <v>13</v>
      </c>
      <c r="Q5" s="320">
        <f>'Calcul -financement'!Q5</f>
        <v>14</v>
      </c>
      <c r="R5" s="320">
        <f>'Calcul -financement'!R5</f>
        <v>15</v>
      </c>
      <c r="S5" s="320">
        <f>'Calcul -financement'!S5</f>
        <v>16</v>
      </c>
      <c r="T5" s="320">
        <f>'Calcul -financement'!T5</f>
        <v>17</v>
      </c>
      <c r="U5" s="320">
        <f>'Calcul -financement'!U5</f>
        <v>18</v>
      </c>
      <c r="V5" s="320">
        <f>'Calcul -financement'!V5</f>
        <v>19</v>
      </c>
      <c r="W5" s="320">
        <f>'Calcul -financement'!W5</f>
        <v>20</v>
      </c>
    </row>
    <row r="6" spans="2:23" ht="18" x14ac:dyDescent="0.35">
      <c r="B6" s="319"/>
      <c r="C6" s="318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6"/>
    </row>
    <row r="7" spans="2:23" ht="18" x14ac:dyDescent="0.35">
      <c r="B7" s="319">
        <v>1</v>
      </c>
      <c r="C7" s="327" t="s">
        <v>127</v>
      </c>
      <c r="D7" s="321">
        <f>'Calcul -financement'!D7</f>
        <v>6775.6244850498351</v>
      </c>
      <c r="E7" s="321">
        <f>'Calcul -financement'!E7</f>
        <v>6978.8932196013302</v>
      </c>
      <c r="F7" s="321">
        <f>'Calcul -financement'!F7</f>
        <v>7188.2600161893706</v>
      </c>
      <c r="G7" s="321">
        <f>'Calcul -financement'!G7</f>
        <v>7403.9078166750523</v>
      </c>
      <c r="H7" s="321">
        <f>'Calcul -financement'!H7</f>
        <v>7626.0250511753038</v>
      </c>
      <c r="I7" s="321">
        <f>'Calcul -financement'!I7</f>
        <v>7854.8058027105635</v>
      </c>
      <c r="J7" s="321">
        <f>'Calcul -financement'!J7</f>
        <v>8090.4499767918805</v>
      </c>
      <c r="K7" s="321">
        <f>'Calcul -financement'!K7</f>
        <v>8333.1634760956367</v>
      </c>
      <c r="L7" s="321">
        <f>'Calcul -financement'!L7</f>
        <v>8583.1583803785052</v>
      </c>
      <c r="M7" s="321">
        <f>'Calcul -financement'!M7</f>
        <v>8840.6531317898607</v>
      </c>
      <c r="N7" s="321">
        <f>'Calcul -financement'!N7</f>
        <v>9105.8727257435567</v>
      </c>
      <c r="O7" s="321">
        <f>'Calcul -financement'!O7</f>
        <v>9379.0489075158639</v>
      </c>
      <c r="P7" s="321">
        <f>'Calcul -financement'!P7</f>
        <v>9660.4203747413394</v>
      </c>
      <c r="Q7" s="321">
        <f>'Calcul -financement'!Q7</f>
        <v>9950.2329859835791</v>
      </c>
      <c r="R7" s="321">
        <f>'Calcul -financement'!R7</f>
        <v>10248.739975563087</v>
      </c>
      <c r="S7" s="321">
        <f>'Calcul -financement'!S7</f>
        <v>10556.202174829979</v>
      </c>
      <c r="T7" s="321">
        <f>'Calcul -financement'!T7</f>
        <v>10872.888240074879</v>
      </c>
      <c r="U7" s="321">
        <f>'Calcul -financement'!U7</f>
        <v>11199.074887277126</v>
      </c>
      <c r="V7" s="321">
        <f>'Calcul -financement'!V7</f>
        <v>11535.047133895439</v>
      </c>
      <c r="W7" s="321">
        <f>'Calcul -financement'!W7</f>
        <v>11881.098547912303</v>
      </c>
    </row>
    <row r="8" spans="2:23" ht="18" x14ac:dyDescent="0.35">
      <c r="B8" s="319"/>
      <c r="C8" s="328"/>
      <c r="D8" s="322"/>
      <c r="E8" s="322"/>
      <c r="F8" s="322"/>
      <c r="G8" s="322"/>
      <c r="H8" s="322"/>
      <c r="I8" s="322"/>
      <c r="J8" s="322"/>
      <c r="K8" s="322"/>
      <c r="L8" s="322"/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323"/>
    </row>
    <row r="9" spans="2:23" ht="18" x14ac:dyDescent="0.35">
      <c r="B9" s="319">
        <v>2</v>
      </c>
      <c r="C9" s="329" t="s">
        <v>128</v>
      </c>
      <c r="D9" s="324">
        <f>'Calcul -financement'!D9</f>
        <v>2144.6320398689622</v>
      </c>
      <c r="E9" s="324">
        <f>'Calcul -financement'!E9</f>
        <v>2144.6320398689622</v>
      </c>
      <c r="F9" s="324">
        <f>'Calcul -financement'!F9</f>
        <v>2144.6320398689622</v>
      </c>
      <c r="G9" s="324">
        <f>'Calcul -financement'!G9</f>
        <v>2144.6320398689622</v>
      </c>
      <c r="H9" s="324">
        <f>'Calcul -financement'!H9</f>
        <v>2144.6320398689622</v>
      </c>
      <c r="I9" s="324">
        <f>'Calcul -financement'!I9</f>
        <v>2144.6320398689622</v>
      </c>
      <c r="J9" s="324">
        <f>'Calcul -financement'!J9</f>
        <v>2144.6320398689622</v>
      </c>
      <c r="K9" s="324">
        <f>'Calcul -financement'!K9</f>
        <v>2144.6320398689622</v>
      </c>
      <c r="L9" s="324">
        <f>'Calcul -financement'!L9</f>
        <v>2144.6320398689622</v>
      </c>
      <c r="M9" s="324">
        <f>'Calcul -financement'!M9</f>
        <v>2144.6320398689622</v>
      </c>
      <c r="N9" s="324">
        <f>'Calcul -financement'!N9</f>
        <v>0</v>
      </c>
      <c r="O9" s="324">
        <f>'Calcul -financement'!O9</f>
        <v>0</v>
      </c>
      <c r="P9" s="324">
        <f>'Calcul -financement'!P9</f>
        <v>0</v>
      </c>
      <c r="Q9" s="324">
        <f>'Calcul -financement'!Q9</f>
        <v>0</v>
      </c>
      <c r="R9" s="324">
        <f>'Calcul -financement'!R9</f>
        <v>0</v>
      </c>
      <c r="S9" s="324">
        <f>'Calcul -financement'!S9</f>
        <v>0</v>
      </c>
      <c r="T9" s="324">
        <f>'Calcul -financement'!T9</f>
        <v>0</v>
      </c>
      <c r="U9" s="324">
        <f>'Calcul -financement'!U9</f>
        <v>0</v>
      </c>
      <c r="V9" s="324">
        <f>'Calcul -financement'!V9</f>
        <v>0</v>
      </c>
      <c r="W9" s="324">
        <f>'Calcul -financement'!W9</f>
        <v>0</v>
      </c>
    </row>
    <row r="10" spans="2:23" ht="18" x14ac:dyDescent="0.35">
      <c r="B10" s="319">
        <v>3</v>
      </c>
      <c r="C10" s="329" t="s">
        <v>129</v>
      </c>
      <c r="D10" s="324">
        <f>'Calcul -financement'!D10</f>
        <v>3249.0978432623738</v>
      </c>
      <c r="E10" s="324">
        <f>'Calcul -financement'!E10</f>
        <v>3346.5707785602449</v>
      </c>
      <c r="F10" s="324">
        <f>'Calcul -financement'!F10</f>
        <v>3446.9679019170521</v>
      </c>
      <c r="G10" s="324">
        <f>'Calcul -financement'!G10</f>
        <v>3550.3769389745639</v>
      </c>
      <c r="H10" s="324">
        <f>'Calcul -financement'!H10</f>
        <v>3656.888247143801</v>
      </c>
      <c r="I10" s="324">
        <f>'Calcul -financement'!I10</f>
        <v>3766.5948945581149</v>
      </c>
      <c r="J10" s="324">
        <f>'Calcul -financement'!J10</f>
        <v>3879.5927413948584</v>
      </c>
      <c r="K10" s="324">
        <f>'Calcul -financement'!K10</f>
        <v>3995.9805236367042</v>
      </c>
      <c r="L10" s="324">
        <f>'Calcul -financement'!L10</f>
        <v>4115.8599393458053</v>
      </c>
      <c r="M10" s="324">
        <f>'Calcul -financement'!M10</f>
        <v>4239.3357375261794</v>
      </c>
      <c r="N10" s="324">
        <f>'Calcul -financement'!N10</f>
        <v>4366.5158096519644</v>
      </c>
      <c r="O10" s="324">
        <f>'Calcul -financement'!O10</f>
        <v>4497.5112839415233</v>
      </c>
      <c r="P10" s="324">
        <f>'Calcul -financement'!P10</f>
        <v>4632.4366224597688</v>
      </c>
      <c r="Q10" s="324">
        <f>'Calcul -financement'!Q10</f>
        <v>4771.409721133562</v>
      </c>
      <c r="R10" s="324">
        <f>'Calcul -financement'!R10</f>
        <v>4914.5520127675691</v>
      </c>
      <c r="S10" s="324">
        <f>'Calcul -financement'!S10</f>
        <v>5061.9885731505965</v>
      </c>
      <c r="T10" s="324">
        <f>'Calcul -financement'!T10</f>
        <v>5213.8482303451146</v>
      </c>
      <c r="U10" s="324">
        <f>'Calcul -financement'!U10</f>
        <v>5370.2636772554679</v>
      </c>
      <c r="V10" s="324">
        <f>'Calcul -financement'!V10</f>
        <v>5531.3715875731323</v>
      </c>
      <c r="W10" s="324">
        <f>'Calcul -financement'!W10</f>
        <v>5697.3127352003266</v>
      </c>
    </row>
    <row r="11" spans="2:23" ht="18" x14ac:dyDescent="0.35">
      <c r="B11" s="319">
        <v>4</v>
      </c>
      <c r="C11" s="329" t="s">
        <v>130</v>
      </c>
      <c r="D11" s="324">
        <f>'Calcul -financement'!D11</f>
        <v>0</v>
      </c>
      <c r="E11" s="324">
        <f>'Calcul -financement'!E11</f>
        <v>0</v>
      </c>
      <c r="F11" s="324">
        <f>'Calcul -financement'!F11</f>
        <v>0</v>
      </c>
      <c r="G11" s="324">
        <f>'Calcul -financement'!G11</f>
        <v>0</v>
      </c>
      <c r="H11" s="324">
        <f>'Calcul -financement'!H11</f>
        <v>0</v>
      </c>
      <c r="I11" s="324">
        <f>'Calcul -financement'!I11</f>
        <v>200</v>
      </c>
      <c r="J11" s="324">
        <f>'Calcul -financement'!J11</f>
        <v>206</v>
      </c>
      <c r="K11" s="324">
        <f>'Calcul -financement'!K11</f>
        <v>212.18</v>
      </c>
      <c r="L11" s="324">
        <f>'Calcul -financement'!L11</f>
        <v>218.5454</v>
      </c>
      <c r="M11" s="324">
        <f>'Calcul -financement'!M11</f>
        <v>225.10176200000001</v>
      </c>
      <c r="N11" s="324">
        <f>'Calcul -financement'!N11</f>
        <v>231.85481486</v>
      </c>
      <c r="O11" s="324">
        <f>'Calcul -financement'!O11</f>
        <v>238.81045930580001</v>
      </c>
      <c r="P11" s="324">
        <f>'Calcul -financement'!P11</f>
        <v>245.974773084974</v>
      </c>
      <c r="Q11" s="324">
        <f>'Calcul -financement'!Q11</f>
        <v>253.35401627752324</v>
      </c>
      <c r="R11" s="324">
        <f>'Calcul -financement'!R11</f>
        <v>260.95463676584893</v>
      </c>
      <c r="S11" s="324">
        <f>'Calcul -financement'!S11</f>
        <v>268.78327586882443</v>
      </c>
      <c r="T11" s="324">
        <f>'Calcul -financement'!T11</f>
        <v>276.8467741448892</v>
      </c>
      <c r="U11" s="324">
        <f>'Calcul -financement'!U11</f>
        <v>285.15217736923586</v>
      </c>
      <c r="V11" s="324">
        <f>'Calcul -financement'!V11</f>
        <v>293.70674269031292</v>
      </c>
      <c r="W11" s="324">
        <f>'Calcul -financement'!W11</f>
        <v>302.5179449710223</v>
      </c>
    </row>
    <row r="12" spans="2:23" ht="18" x14ac:dyDescent="0.35">
      <c r="B12" s="319"/>
      <c r="C12" s="330"/>
      <c r="D12" s="322"/>
      <c r="E12" s="322"/>
      <c r="F12" s="322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322"/>
      <c r="S12" s="322"/>
      <c r="T12" s="322"/>
      <c r="U12" s="322"/>
      <c r="V12" s="322"/>
      <c r="W12" s="323"/>
    </row>
    <row r="13" spans="2:23" ht="18" x14ac:dyDescent="0.35">
      <c r="B13" s="319">
        <v>5</v>
      </c>
      <c r="C13" s="327" t="s">
        <v>131</v>
      </c>
      <c r="D13" s="321">
        <f>'Calcul -financement'!D13</f>
        <v>5393.7298831313365</v>
      </c>
      <c r="E13" s="321">
        <f>'Calcul -financement'!E13</f>
        <v>5491.2028184292067</v>
      </c>
      <c r="F13" s="321">
        <f>'Calcul -financement'!F13</f>
        <v>5591.5999417860148</v>
      </c>
      <c r="G13" s="321">
        <f>'Calcul -financement'!G13</f>
        <v>5695.0089788435262</v>
      </c>
      <c r="H13" s="321">
        <f>'Calcul -financement'!H13</f>
        <v>5801.5202870127632</v>
      </c>
      <c r="I13" s="321">
        <f>'Calcul -financement'!I13</f>
        <v>6111.2269344270771</v>
      </c>
      <c r="J13" s="321">
        <f>'Calcul -financement'!J13</f>
        <v>6230.2247812638207</v>
      </c>
      <c r="K13" s="321">
        <f>'Calcul -financement'!K13</f>
        <v>6352.7925635056672</v>
      </c>
      <c r="L13" s="321">
        <f>'Calcul -financement'!L13</f>
        <v>6479.0373792147675</v>
      </c>
      <c r="M13" s="321">
        <f>'Calcul -financement'!M13</f>
        <v>6609.0695393951419</v>
      </c>
      <c r="N13" s="321">
        <f>'Calcul -financement'!N13</f>
        <v>4598.3706245119647</v>
      </c>
      <c r="O13" s="321">
        <f>'Calcul -financement'!O13</f>
        <v>4736.321743247323</v>
      </c>
      <c r="P13" s="321">
        <f>'Calcul -financement'!P13</f>
        <v>4878.4113955447428</v>
      </c>
      <c r="Q13" s="321">
        <f>'Calcul -financement'!Q13</f>
        <v>5024.7637374110855</v>
      </c>
      <c r="R13" s="321">
        <f>'Calcul -financement'!R13</f>
        <v>5175.5066495334177</v>
      </c>
      <c r="S13" s="321">
        <f>'Calcul -financement'!S13</f>
        <v>5330.7718490194211</v>
      </c>
      <c r="T13" s="321">
        <f>'Calcul -financement'!T13</f>
        <v>5490.6950044900041</v>
      </c>
      <c r="U13" s="321">
        <f>'Calcul -financement'!U13</f>
        <v>5655.4158546247036</v>
      </c>
      <c r="V13" s="321">
        <f>'Calcul -financement'!V13</f>
        <v>5825.0783302634454</v>
      </c>
      <c r="W13" s="321">
        <f>'Calcul -financement'!W13</f>
        <v>5999.8306801713488</v>
      </c>
    </row>
    <row r="14" spans="2:23" ht="18" x14ac:dyDescent="0.35">
      <c r="B14" s="319"/>
      <c r="C14" s="328"/>
      <c r="D14" s="322">
        <f>'Calcul -financement'!D14</f>
        <v>0</v>
      </c>
      <c r="E14" s="322">
        <f>'Calcul -financement'!E14</f>
        <v>0</v>
      </c>
      <c r="F14" s="322">
        <f>'Calcul -financement'!F14</f>
        <v>0</v>
      </c>
      <c r="G14" s="322">
        <f>'Calcul -financement'!G14</f>
        <v>0</v>
      </c>
      <c r="H14" s="322">
        <f>'Calcul -financement'!H14</f>
        <v>0</v>
      </c>
      <c r="I14" s="322">
        <f>'Calcul -financement'!I14</f>
        <v>0</v>
      </c>
      <c r="J14" s="322">
        <f>'Calcul -financement'!J14</f>
        <v>0</v>
      </c>
      <c r="K14" s="322">
        <f>'Calcul -financement'!K14</f>
        <v>0</v>
      </c>
      <c r="L14" s="322">
        <f>'Calcul -financement'!L14</f>
        <v>0</v>
      </c>
      <c r="M14" s="322">
        <f>'Calcul -financement'!M14</f>
        <v>0</v>
      </c>
      <c r="N14" s="322">
        <f>'Calcul -financement'!N14</f>
        <v>0</v>
      </c>
      <c r="O14" s="322">
        <f>'Calcul -financement'!O14</f>
        <v>0</v>
      </c>
      <c r="P14" s="322">
        <f>'Calcul -financement'!P14</f>
        <v>0</v>
      </c>
      <c r="Q14" s="322">
        <f>'Calcul -financement'!Q14</f>
        <v>0</v>
      </c>
      <c r="R14" s="322">
        <f>'Calcul -financement'!R14</f>
        <v>0</v>
      </c>
      <c r="S14" s="322">
        <f>'Calcul -financement'!S14</f>
        <v>0</v>
      </c>
      <c r="T14" s="322">
        <f>'Calcul -financement'!T14</f>
        <v>0</v>
      </c>
      <c r="U14" s="322">
        <f>'Calcul -financement'!U14</f>
        <v>0</v>
      </c>
      <c r="V14" s="322">
        <f>'Calcul -financement'!V14</f>
        <v>0</v>
      </c>
      <c r="W14" s="323">
        <f>'Calcul -financement'!W14</f>
        <v>0</v>
      </c>
    </row>
    <row r="15" spans="2:23" ht="18" x14ac:dyDescent="0.35">
      <c r="B15" s="319">
        <v>6</v>
      </c>
      <c r="C15" s="331" t="s">
        <v>132</v>
      </c>
      <c r="D15" s="325">
        <f>'Calcul -financement'!D15</f>
        <v>1381.8946019184987</v>
      </c>
      <c r="E15" s="325">
        <f>'Calcul -financement'!E15</f>
        <v>1487.6904011721235</v>
      </c>
      <c r="F15" s="325">
        <f>'Calcul -financement'!F15</f>
        <v>1596.6600744033558</v>
      </c>
      <c r="G15" s="325">
        <f>'Calcul -financement'!G15</f>
        <v>1708.8988378315262</v>
      </c>
      <c r="H15" s="325">
        <f>'Calcul -financement'!H15</f>
        <v>1824.5047641625406</v>
      </c>
      <c r="I15" s="325">
        <f>'Calcul -financement'!I15</f>
        <v>1743.5788682834864</v>
      </c>
      <c r="J15" s="325">
        <f>'Calcul -financement'!J15</f>
        <v>1860.2251955280599</v>
      </c>
      <c r="K15" s="325">
        <f>'Calcul -financement'!K15</f>
        <v>1980.3709125899695</v>
      </c>
      <c r="L15" s="325">
        <f>'Calcul -financement'!L15</f>
        <v>2104.1210011637377</v>
      </c>
      <c r="M15" s="325">
        <f>'Calcul -financement'!M15</f>
        <v>2231.5835923947188</v>
      </c>
      <c r="N15" s="325">
        <f>'Calcul -financement'!N15</f>
        <v>4507.502101231592</v>
      </c>
      <c r="O15" s="325">
        <f>'Calcul -financement'!O15</f>
        <v>4642.7271642685409</v>
      </c>
      <c r="P15" s="325">
        <f>'Calcul -financement'!P15</f>
        <v>4782.0089791965966</v>
      </c>
      <c r="Q15" s="325">
        <f>'Calcul -financement'!Q15</f>
        <v>4925.4692485724936</v>
      </c>
      <c r="R15" s="325">
        <f>'Calcul -financement'!R15</f>
        <v>5073.2333260296691</v>
      </c>
      <c r="S15" s="325">
        <f>'Calcul -financement'!S15</f>
        <v>5225.4303258105583</v>
      </c>
      <c r="T15" s="325">
        <f>'Calcul -financement'!T15</f>
        <v>5382.1932355848749</v>
      </c>
      <c r="U15" s="325">
        <f>'Calcul -financement'!U15</f>
        <v>5543.659032652422</v>
      </c>
      <c r="V15" s="325">
        <f>'Calcul -financement'!V15</f>
        <v>5709.968803631994</v>
      </c>
      <c r="W15" s="325">
        <f>'Calcul -financement'!W15</f>
        <v>5881.267867740954</v>
      </c>
    </row>
    <row r="16" spans="2:23" ht="18" x14ac:dyDescent="0.35">
      <c r="B16" s="319">
        <v>7</v>
      </c>
      <c r="C16" s="332" t="str">
        <f>'Calcul -financement'!B16</f>
        <v>Energy saving €HT/m</v>
      </c>
      <c r="D16" s="326">
        <f>'Calcul -financement'!D16</f>
        <v>115.15788349320822</v>
      </c>
      <c r="E16" s="326">
        <f>'Calcul -financement'!E16</f>
        <v>123.97420009767696</v>
      </c>
      <c r="F16" s="326">
        <f>'Calcul -financement'!F16</f>
        <v>133.05500620027965</v>
      </c>
      <c r="G16" s="326">
        <f>'Calcul -financement'!G16</f>
        <v>142.40823648596051</v>
      </c>
      <c r="H16" s="326">
        <f>'Calcul -financement'!H16</f>
        <v>152.04206368021173</v>
      </c>
      <c r="I16" s="326">
        <f>'Calcul -financement'!I16</f>
        <v>145.29823902362386</v>
      </c>
      <c r="J16" s="326">
        <f>'Calcul -financement'!J16</f>
        <v>155.01876629400499</v>
      </c>
      <c r="K16" s="326">
        <f>'Calcul -financement'!K16</f>
        <v>165.03090938249747</v>
      </c>
      <c r="L16" s="326">
        <f>'Calcul -financement'!L16</f>
        <v>175.3434167636448</v>
      </c>
      <c r="M16" s="326">
        <f>'Calcul -financement'!M16</f>
        <v>185.96529936622656</v>
      </c>
      <c r="N16" s="326">
        <f>'Calcul -financement'!N16</f>
        <v>375.62517510263268</v>
      </c>
      <c r="O16" s="326">
        <f>'Calcul -financement'!O16</f>
        <v>386.89393035571175</v>
      </c>
      <c r="P16" s="326">
        <f>'Calcul -financement'!P16</f>
        <v>398.50074826638303</v>
      </c>
      <c r="Q16" s="326">
        <f>'Calcul -financement'!Q16</f>
        <v>410.45577071437447</v>
      </c>
      <c r="R16" s="326">
        <f>'Calcul -financement'!R16</f>
        <v>422.76944383580576</v>
      </c>
      <c r="S16" s="326">
        <f>'Calcul -financement'!S16</f>
        <v>435.45252715087986</v>
      </c>
      <c r="T16" s="326">
        <f>'Calcul -financement'!T16</f>
        <v>448.51610296540622</v>
      </c>
      <c r="U16" s="326">
        <f>'Calcul -financement'!U16</f>
        <v>461.97158605436852</v>
      </c>
      <c r="V16" s="326">
        <f>'Calcul -financement'!V16</f>
        <v>475.83073363599948</v>
      </c>
      <c r="W16" s="326">
        <f>'Calcul -financement'!W16</f>
        <v>490.10565564507948</v>
      </c>
    </row>
    <row r="17" spans="3:22" x14ac:dyDescent="0.3">
      <c r="C17" s="127"/>
    </row>
    <row r="21" spans="3:22" ht="23.4" x14ac:dyDescent="0.45">
      <c r="M21" s="355"/>
      <c r="N21" s="355"/>
      <c r="O21" s="356" t="s">
        <v>146</v>
      </c>
      <c r="P21" s="355"/>
      <c r="Q21" s="355"/>
      <c r="R21" s="355"/>
      <c r="S21" s="355"/>
      <c r="T21" s="357" t="s">
        <v>86</v>
      </c>
      <c r="U21" s="358">
        <f>'Calcul -financement'!C7</f>
        <v>0.03</v>
      </c>
      <c r="V21" s="355"/>
    </row>
    <row r="22" spans="3:22" ht="23.4" x14ac:dyDescent="0.45">
      <c r="L22" s="124"/>
      <c r="M22" s="355"/>
      <c r="N22" s="355"/>
      <c r="O22" s="359" t="s">
        <v>145</v>
      </c>
      <c r="P22" s="355" t="str">
        <f>'Input-data'!B2</f>
        <v>yyy</v>
      </c>
      <c r="Q22" s="355"/>
      <c r="R22" s="360" t="s">
        <v>71</v>
      </c>
      <c r="S22" s="361">
        <f>'Input-data'!C2</f>
        <v>44342</v>
      </c>
      <c r="T22" s="355"/>
      <c r="U22" s="355"/>
      <c r="V22" s="355"/>
    </row>
    <row r="23" spans="3:22" ht="23.4" x14ac:dyDescent="0.45">
      <c r="L23" s="123"/>
      <c r="M23" s="362"/>
      <c r="N23" s="355"/>
      <c r="O23" s="355"/>
      <c r="P23" s="355"/>
      <c r="Q23" s="355"/>
      <c r="R23" s="355"/>
      <c r="S23" s="355"/>
      <c r="T23" s="355"/>
      <c r="U23" s="355"/>
      <c r="V23" s="355"/>
    </row>
    <row r="24" spans="3:22" ht="23.4" x14ac:dyDescent="0.45">
      <c r="L24" s="123"/>
      <c r="M24" s="363"/>
      <c r="N24" s="364" t="str">
        <f>'Calcul -financement'!X5</f>
        <v>Total Invest</v>
      </c>
      <c r="O24" s="365">
        <f>'Calcul -financement'!Y5</f>
        <v>20200</v>
      </c>
      <c r="P24" s="366" t="s">
        <v>66</v>
      </c>
      <c r="Q24" s="355"/>
      <c r="R24" s="367"/>
      <c r="S24" s="366"/>
      <c r="T24" s="368" t="s">
        <v>191</v>
      </c>
      <c r="U24" s="369"/>
      <c r="V24" s="370"/>
    </row>
    <row r="25" spans="3:22" ht="23.4" x14ac:dyDescent="0.45">
      <c r="L25" s="123"/>
      <c r="M25" s="363"/>
      <c r="N25" s="364" t="str">
        <f>'Calcul -financement'!X6</f>
        <v>Grant</v>
      </c>
      <c r="O25" s="371">
        <f>'Calcul -financement'!Y6</f>
        <v>0</v>
      </c>
      <c r="P25" s="372" t="s">
        <v>66</v>
      </c>
      <c r="Q25" s="355"/>
      <c r="R25" s="367"/>
      <c r="S25" s="373"/>
      <c r="T25" s="374" t="s">
        <v>70</v>
      </c>
      <c r="U25" s="375">
        <f>D15</f>
        <v>1381.8946019184987</v>
      </c>
      <c r="V25" s="376" t="s">
        <v>66</v>
      </c>
    </row>
    <row r="26" spans="3:22" ht="23.4" x14ac:dyDescent="0.45">
      <c r="L26" s="123"/>
      <c r="M26" s="363"/>
      <c r="N26" s="364" t="str">
        <f>'Calcul -financement'!X7</f>
        <v>Capital loan</v>
      </c>
      <c r="O26" s="365">
        <f>'Calcul -financement'!Y7</f>
        <v>20200</v>
      </c>
      <c r="P26" s="366" t="s">
        <v>66</v>
      </c>
      <c r="Q26" s="355"/>
      <c r="R26" s="377"/>
      <c r="S26" s="362"/>
      <c r="T26" s="378" t="s">
        <v>69</v>
      </c>
      <c r="U26" s="379">
        <f>H15</f>
        <v>1824.5047641625406</v>
      </c>
      <c r="V26" s="372" t="s">
        <v>66</v>
      </c>
    </row>
    <row r="27" spans="3:22" ht="23.4" x14ac:dyDescent="0.45">
      <c r="L27" s="123"/>
      <c r="M27" s="363"/>
      <c r="N27" s="364" t="s">
        <v>190</v>
      </c>
      <c r="O27" s="373">
        <f>'Calcul -financement'!Y8</f>
        <v>10</v>
      </c>
      <c r="P27" s="366" t="s">
        <v>140</v>
      </c>
      <c r="Q27" s="355"/>
      <c r="R27" s="367"/>
      <c r="S27" s="373"/>
      <c r="T27" s="374" t="s">
        <v>68</v>
      </c>
      <c r="U27" s="375">
        <f>N15</f>
        <v>4507.502101231592</v>
      </c>
      <c r="V27" s="366" t="s">
        <v>66</v>
      </c>
    </row>
    <row r="28" spans="3:22" ht="23.4" x14ac:dyDescent="0.45">
      <c r="L28" s="123"/>
      <c r="M28" s="380"/>
      <c r="N28" s="381" t="str">
        <f>'Calcul -financement'!X9</f>
        <v xml:space="preserve">Loan rate </v>
      </c>
      <c r="O28" s="382">
        <f>'Calcul -financement'!Y9</f>
        <v>1.2E-2</v>
      </c>
      <c r="P28" s="366"/>
      <c r="Q28" s="355"/>
      <c r="R28" s="367"/>
      <c r="S28" s="373"/>
      <c r="T28" s="374" t="s">
        <v>67</v>
      </c>
      <c r="U28" s="375">
        <f>W15</f>
        <v>5881.267867740954</v>
      </c>
      <c r="V28" s="366" t="s">
        <v>66</v>
      </c>
    </row>
    <row r="29" spans="3:22" ht="18" x14ac:dyDescent="0.35">
      <c r="L29" s="123"/>
      <c r="M29" s="123"/>
      <c r="Q29" s="124"/>
      <c r="R29" s="125"/>
      <c r="S29" s="125"/>
      <c r="T29" s="125"/>
      <c r="U29" s="125"/>
      <c r="V29" s="124"/>
    </row>
  </sheetData>
  <sheetProtection sheet="1" selectLockedCells="1" selectUnlockedCell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6"/>
  <sheetViews>
    <sheetView zoomScaleNormal="100" workbookViewId="0">
      <selection activeCell="D25" sqref="D25"/>
    </sheetView>
  </sheetViews>
  <sheetFormatPr baseColWidth="10" defaultColWidth="11" defaultRowHeight="14.4" x14ac:dyDescent="0.3"/>
  <cols>
    <col min="1" max="1" width="2.19921875" style="130" customWidth="1"/>
    <col min="2" max="2" width="29.09765625" style="114" customWidth="1"/>
    <col min="3" max="3" width="4.19921875" style="114" customWidth="1"/>
    <col min="4" max="4" width="9.19921875" style="114" customWidth="1"/>
    <col min="5" max="5" width="8.8984375" style="114" customWidth="1"/>
    <col min="6" max="6" width="9.69921875" style="114" customWidth="1"/>
    <col min="7" max="7" width="9" style="114" customWidth="1"/>
    <col min="8" max="8" width="8.59765625" style="114" customWidth="1"/>
    <col min="9" max="9" width="9.69921875" style="114" customWidth="1"/>
    <col min="10" max="10" width="9.3984375" style="114" customWidth="1"/>
    <col min="11" max="11" width="9.19921875" style="114" customWidth="1"/>
    <col min="12" max="12" width="8.8984375" style="114" customWidth="1"/>
    <col min="13" max="13" width="8.59765625" style="114" customWidth="1"/>
    <col min="14" max="14" width="7.59765625" style="114" customWidth="1"/>
    <col min="15" max="15" width="8.3984375" style="114" customWidth="1"/>
    <col min="16" max="16" width="9.09765625" style="114" customWidth="1"/>
    <col min="17" max="17" width="8.59765625" style="114" customWidth="1"/>
    <col min="18" max="18" width="8.69921875" style="114" customWidth="1"/>
    <col min="19" max="19" width="8.59765625" style="127" customWidth="1"/>
    <col min="20" max="20" width="8.69921875" style="114" customWidth="1"/>
    <col min="21" max="21" width="8.8984375" style="129" customWidth="1"/>
    <col min="22" max="22" width="8.69921875" style="114" customWidth="1"/>
    <col min="23" max="23" width="8.59765625" style="114" customWidth="1"/>
    <col min="24" max="24" width="6.59765625" style="114" customWidth="1"/>
    <col min="25" max="25" width="7.69921875" style="114" customWidth="1"/>
    <col min="26" max="16384" width="11" style="114"/>
  </cols>
  <sheetData>
    <row r="2" spans="1:25" ht="18" x14ac:dyDescent="0.35">
      <c r="B2" s="400" t="s">
        <v>147</v>
      </c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00"/>
    </row>
    <row r="3" spans="1:25" ht="18" x14ac:dyDescent="0.35"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</row>
    <row r="5" spans="1:25" x14ac:dyDescent="0.3">
      <c r="C5" s="306" t="s">
        <v>140</v>
      </c>
      <c r="D5" s="153">
        <v>1</v>
      </c>
      <c r="E5" s="153">
        <v>2</v>
      </c>
      <c r="F5" s="153">
        <v>3</v>
      </c>
      <c r="G5" s="153">
        <v>4</v>
      </c>
      <c r="H5" s="153">
        <v>5</v>
      </c>
      <c r="I5" s="153">
        <v>6</v>
      </c>
      <c r="J5" s="153">
        <v>7</v>
      </c>
      <c r="K5" s="153">
        <v>8</v>
      </c>
      <c r="L5" s="153">
        <v>9</v>
      </c>
      <c r="M5" s="153">
        <v>10</v>
      </c>
      <c r="N5" s="153">
        <v>11</v>
      </c>
      <c r="O5" s="153">
        <v>12</v>
      </c>
      <c r="P5" s="153">
        <v>13</v>
      </c>
      <c r="Q5" s="153">
        <v>14</v>
      </c>
      <c r="R5" s="153">
        <v>15</v>
      </c>
      <c r="S5" s="153">
        <v>16</v>
      </c>
      <c r="T5" s="153">
        <v>17</v>
      </c>
      <c r="U5" s="153">
        <v>18</v>
      </c>
      <c r="V5" s="153">
        <v>19</v>
      </c>
      <c r="W5" s="153">
        <v>20</v>
      </c>
      <c r="X5" s="262" t="s">
        <v>135</v>
      </c>
      <c r="Y5" s="152">
        <f>'Input-data'!B23+'Input-data'!B22</f>
        <v>20200</v>
      </c>
    </row>
    <row r="6" spans="1:25" x14ac:dyDescent="0.3">
      <c r="A6" s="130" t="s">
        <v>73</v>
      </c>
      <c r="S6" s="114"/>
      <c r="U6" s="114"/>
      <c r="X6" s="262" t="s">
        <v>136</v>
      </c>
      <c r="Y6" s="147">
        <f>'Input-data'!B22*'Input-data'!E22</f>
        <v>0</v>
      </c>
    </row>
    <row r="7" spans="1:25" x14ac:dyDescent="0.3">
      <c r="A7" s="137">
        <v>1</v>
      </c>
      <c r="B7" s="300" t="s">
        <v>127</v>
      </c>
      <c r="C7" s="151">
        <f>'Input-data'!C29</f>
        <v>0.03</v>
      </c>
      <c r="D7" s="150">
        <f>D18*D19</f>
        <v>6775.6244850498351</v>
      </c>
      <c r="E7" s="150">
        <f t="shared" ref="E7:W7" si="0">D7*(1+$C$7)</f>
        <v>6978.8932196013302</v>
      </c>
      <c r="F7" s="150">
        <f t="shared" si="0"/>
        <v>7188.2600161893706</v>
      </c>
      <c r="G7" s="150">
        <f t="shared" si="0"/>
        <v>7403.9078166750523</v>
      </c>
      <c r="H7" s="150">
        <f t="shared" si="0"/>
        <v>7626.0250511753038</v>
      </c>
      <c r="I7" s="150">
        <f t="shared" si="0"/>
        <v>7854.8058027105635</v>
      </c>
      <c r="J7" s="150">
        <f t="shared" si="0"/>
        <v>8090.4499767918805</v>
      </c>
      <c r="K7" s="150">
        <f t="shared" si="0"/>
        <v>8333.1634760956367</v>
      </c>
      <c r="L7" s="150">
        <f t="shared" si="0"/>
        <v>8583.1583803785052</v>
      </c>
      <c r="M7" s="150">
        <f t="shared" si="0"/>
        <v>8840.6531317898607</v>
      </c>
      <c r="N7" s="150">
        <f t="shared" si="0"/>
        <v>9105.8727257435567</v>
      </c>
      <c r="O7" s="150">
        <f t="shared" si="0"/>
        <v>9379.0489075158639</v>
      </c>
      <c r="P7" s="150">
        <f t="shared" si="0"/>
        <v>9660.4203747413394</v>
      </c>
      <c r="Q7" s="150">
        <f t="shared" si="0"/>
        <v>9950.2329859835791</v>
      </c>
      <c r="R7" s="150">
        <f t="shared" si="0"/>
        <v>10248.739975563087</v>
      </c>
      <c r="S7" s="150">
        <f t="shared" si="0"/>
        <v>10556.202174829979</v>
      </c>
      <c r="T7" s="150">
        <f t="shared" si="0"/>
        <v>10872.888240074879</v>
      </c>
      <c r="U7" s="150">
        <f t="shared" si="0"/>
        <v>11199.074887277126</v>
      </c>
      <c r="V7" s="150">
        <f t="shared" si="0"/>
        <v>11535.047133895439</v>
      </c>
      <c r="W7" s="149">
        <f t="shared" si="0"/>
        <v>11881.098547912303</v>
      </c>
      <c r="X7" s="262" t="s">
        <v>103</v>
      </c>
      <c r="Y7" s="148">
        <f>Y5-Y6</f>
        <v>20200</v>
      </c>
    </row>
    <row r="8" spans="1:25" x14ac:dyDescent="0.3">
      <c r="B8" s="304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262" t="s">
        <v>105</v>
      </c>
      <c r="Y8" s="147">
        <f>'Input-data'!B27</f>
        <v>10</v>
      </c>
    </row>
    <row r="9" spans="1:25" x14ac:dyDescent="0.3">
      <c r="A9" s="137">
        <v>2</v>
      </c>
      <c r="B9" s="305" t="s">
        <v>128</v>
      </c>
      <c r="C9" s="135"/>
      <c r="D9" s="143">
        <f>Y7*(Y9/12)/(1-(1+Y9/12)^(-Y8*12))*12</f>
        <v>2144.6320398689622</v>
      </c>
      <c r="E9" s="143">
        <f t="shared" ref="E9:W9" si="1">IF(E5&lt;=$Y$8,$D$9,0)</f>
        <v>2144.6320398689622</v>
      </c>
      <c r="F9" s="143">
        <f t="shared" si="1"/>
        <v>2144.6320398689622</v>
      </c>
      <c r="G9" s="143">
        <f t="shared" si="1"/>
        <v>2144.6320398689622</v>
      </c>
      <c r="H9" s="143">
        <f t="shared" si="1"/>
        <v>2144.6320398689622</v>
      </c>
      <c r="I9" s="143">
        <f t="shared" si="1"/>
        <v>2144.6320398689622</v>
      </c>
      <c r="J9" s="143">
        <f t="shared" si="1"/>
        <v>2144.6320398689622</v>
      </c>
      <c r="K9" s="143">
        <f t="shared" si="1"/>
        <v>2144.6320398689622</v>
      </c>
      <c r="L9" s="143">
        <f t="shared" si="1"/>
        <v>2144.6320398689622</v>
      </c>
      <c r="M9" s="143">
        <f t="shared" si="1"/>
        <v>2144.6320398689622</v>
      </c>
      <c r="N9" s="143">
        <f t="shared" si="1"/>
        <v>0</v>
      </c>
      <c r="O9" s="143">
        <f t="shared" si="1"/>
        <v>0</v>
      </c>
      <c r="P9" s="143">
        <f t="shared" si="1"/>
        <v>0</v>
      </c>
      <c r="Q9" s="143">
        <f t="shared" si="1"/>
        <v>0</v>
      </c>
      <c r="R9" s="143">
        <f t="shared" si="1"/>
        <v>0</v>
      </c>
      <c r="S9" s="143">
        <f t="shared" si="1"/>
        <v>0</v>
      </c>
      <c r="T9" s="143">
        <f t="shared" si="1"/>
        <v>0</v>
      </c>
      <c r="U9" s="143">
        <f t="shared" si="1"/>
        <v>0</v>
      </c>
      <c r="V9" s="143">
        <f t="shared" si="1"/>
        <v>0</v>
      </c>
      <c r="W9" s="146">
        <f t="shared" si="1"/>
        <v>0</v>
      </c>
      <c r="X9" s="262" t="s">
        <v>137</v>
      </c>
      <c r="Y9" s="145">
        <f>'Input-data'!B26</f>
        <v>1.2E-2</v>
      </c>
    </row>
    <row r="10" spans="1:25" x14ac:dyDescent="0.3">
      <c r="A10" s="137">
        <v>3</v>
      </c>
      <c r="B10" s="305" t="s">
        <v>129</v>
      </c>
      <c r="C10" s="144">
        <f>1-D21</f>
        <v>0.479527436981106</v>
      </c>
      <c r="D10" s="143">
        <f>D7*C10</f>
        <v>3249.0978432623738</v>
      </c>
      <c r="E10" s="143">
        <f t="shared" ref="E10:W10" si="2">D10*(1+$C7)</f>
        <v>3346.5707785602449</v>
      </c>
      <c r="F10" s="143">
        <f t="shared" si="2"/>
        <v>3446.9679019170521</v>
      </c>
      <c r="G10" s="143">
        <f t="shared" si="2"/>
        <v>3550.3769389745639</v>
      </c>
      <c r="H10" s="143">
        <f t="shared" si="2"/>
        <v>3656.888247143801</v>
      </c>
      <c r="I10" s="143">
        <f t="shared" si="2"/>
        <v>3766.5948945581149</v>
      </c>
      <c r="J10" s="143">
        <f t="shared" si="2"/>
        <v>3879.5927413948584</v>
      </c>
      <c r="K10" s="143">
        <f t="shared" si="2"/>
        <v>3995.9805236367042</v>
      </c>
      <c r="L10" s="143">
        <f t="shared" si="2"/>
        <v>4115.8599393458053</v>
      </c>
      <c r="M10" s="143">
        <f t="shared" si="2"/>
        <v>4239.3357375261794</v>
      </c>
      <c r="N10" s="143">
        <f t="shared" si="2"/>
        <v>4366.5158096519644</v>
      </c>
      <c r="O10" s="143">
        <f t="shared" si="2"/>
        <v>4497.5112839415233</v>
      </c>
      <c r="P10" s="143">
        <f t="shared" si="2"/>
        <v>4632.4366224597688</v>
      </c>
      <c r="Q10" s="143">
        <f t="shared" si="2"/>
        <v>4771.409721133562</v>
      </c>
      <c r="R10" s="143">
        <f t="shared" si="2"/>
        <v>4914.5520127675691</v>
      </c>
      <c r="S10" s="143">
        <f t="shared" si="2"/>
        <v>5061.9885731505965</v>
      </c>
      <c r="T10" s="143">
        <f t="shared" si="2"/>
        <v>5213.8482303451146</v>
      </c>
      <c r="U10" s="143">
        <f t="shared" si="2"/>
        <v>5370.2636772554679</v>
      </c>
      <c r="V10" s="143">
        <f t="shared" si="2"/>
        <v>5531.3715875731323</v>
      </c>
      <c r="W10" s="143">
        <f t="shared" si="2"/>
        <v>5697.3127352003266</v>
      </c>
    </row>
    <row r="11" spans="1:25" x14ac:dyDescent="0.3">
      <c r="A11" s="137">
        <v>4</v>
      </c>
      <c r="B11" s="305" t="s">
        <v>130</v>
      </c>
      <c r="C11" s="135"/>
      <c r="D11" s="143"/>
      <c r="E11" s="143"/>
      <c r="F11" s="143"/>
      <c r="G11" s="143"/>
      <c r="H11" s="143"/>
      <c r="I11" s="143">
        <v>200</v>
      </c>
      <c r="J11" s="143">
        <f t="shared" ref="J11:W11" si="3">I11*1.03</f>
        <v>206</v>
      </c>
      <c r="K11" s="143">
        <f t="shared" si="3"/>
        <v>212.18</v>
      </c>
      <c r="L11" s="143">
        <f t="shared" si="3"/>
        <v>218.5454</v>
      </c>
      <c r="M11" s="143">
        <f t="shared" si="3"/>
        <v>225.10176200000001</v>
      </c>
      <c r="N11" s="143">
        <f t="shared" si="3"/>
        <v>231.85481486</v>
      </c>
      <c r="O11" s="143">
        <f t="shared" si="3"/>
        <v>238.81045930580001</v>
      </c>
      <c r="P11" s="143">
        <f t="shared" si="3"/>
        <v>245.974773084974</v>
      </c>
      <c r="Q11" s="143">
        <f t="shared" si="3"/>
        <v>253.35401627752324</v>
      </c>
      <c r="R11" s="143">
        <f t="shared" si="3"/>
        <v>260.95463676584893</v>
      </c>
      <c r="S11" s="143">
        <f t="shared" si="3"/>
        <v>268.78327586882443</v>
      </c>
      <c r="T11" s="143">
        <f t="shared" si="3"/>
        <v>276.8467741448892</v>
      </c>
      <c r="U11" s="143">
        <f t="shared" si="3"/>
        <v>285.15217736923586</v>
      </c>
      <c r="V11" s="143">
        <f t="shared" si="3"/>
        <v>293.70674269031292</v>
      </c>
      <c r="W11" s="143">
        <f t="shared" si="3"/>
        <v>302.5179449710223</v>
      </c>
    </row>
    <row r="12" spans="1:25" x14ac:dyDescent="0.3">
      <c r="B12" s="30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</row>
    <row r="13" spans="1:25" x14ac:dyDescent="0.3">
      <c r="A13" s="137">
        <v>5</v>
      </c>
      <c r="B13" s="300" t="s">
        <v>131</v>
      </c>
      <c r="C13" s="136"/>
      <c r="D13" s="142">
        <f t="shared" ref="D13:W13" si="4">D9+D10+D11</f>
        <v>5393.7298831313365</v>
      </c>
      <c r="E13" s="142">
        <f t="shared" si="4"/>
        <v>5491.2028184292067</v>
      </c>
      <c r="F13" s="142">
        <f t="shared" si="4"/>
        <v>5591.5999417860148</v>
      </c>
      <c r="G13" s="142">
        <f t="shared" si="4"/>
        <v>5695.0089788435262</v>
      </c>
      <c r="H13" s="142">
        <f t="shared" si="4"/>
        <v>5801.5202870127632</v>
      </c>
      <c r="I13" s="142">
        <f t="shared" si="4"/>
        <v>6111.2269344270771</v>
      </c>
      <c r="J13" s="142">
        <f t="shared" si="4"/>
        <v>6230.2247812638207</v>
      </c>
      <c r="K13" s="142">
        <f t="shared" si="4"/>
        <v>6352.7925635056672</v>
      </c>
      <c r="L13" s="142">
        <f t="shared" si="4"/>
        <v>6479.0373792147675</v>
      </c>
      <c r="M13" s="142">
        <f t="shared" si="4"/>
        <v>6609.0695393951419</v>
      </c>
      <c r="N13" s="142">
        <f t="shared" si="4"/>
        <v>4598.3706245119647</v>
      </c>
      <c r="O13" s="142">
        <f t="shared" si="4"/>
        <v>4736.321743247323</v>
      </c>
      <c r="P13" s="142">
        <f t="shared" si="4"/>
        <v>4878.4113955447428</v>
      </c>
      <c r="Q13" s="142">
        <f t="shared" si="4"/>
        <v>5024.7637374110855</v>
      </c>
      <c r="R13" s="142">
        <f t="shared" si="4"/>
        <v>5175.5066495334177</v>
      </c>
      <c r="S13" s="142">
        <f t="shared" si="4"/>
        <v>5330.7718490194211</v>
      </c>
      <c r="T13" s="142">
        <f t="shared" si="4"/>
        <v>5490.6950044900041</v>
      </c>
      <c r="U13" s="142">
        <f t="shared" si="4"/>
        <v>5655.4158546247036</v>
      </c>
      <c r="V13" s="142">
        <f t="shared" si="4"/>
        <v>5825.0783302634454</v>
      </c>
      <c r="W13" s="142">
        <f t="shared" si="4"/>
        <v>5999.8306801713488</v>
      </c>
    </row>
    <row r="14" spans="1:25" x14ac:dyDescent="0.3">
      <c r="B14" s="304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</row>
    <row r="15" spans="1:25" s="138" customFormat="1" x14ac:dyDescent="0.3">
      <c r="A15" s="140">
        <v>6</v>
      </c>
      <c r="B15" s="302" t="s">
        <v>134</v>
      </c>
      <c r="C15" s="139"/>
      <c r="D15" s="134">
        <f t="shared" ref="D15:W15" si="5">D7-D13</f>
        <v>1381.8946019184987</v>
      </c>
      <c r="E15" s="134">
        <f t="shared" si="5"/>
        <v>1487.6904011721235</v>
      </c>
      <c r="F15" s="134">
        <f t="shared" si="5"/>
        <v>1596.6600744033558</v>
      </c>
      <c r="G15" s="134">
        <f t="shared" si="5"/>
        <v>1708.8988378315262</v>
      </c>
      <c r="H15" s="134">
        <f t="shared" si="5"/>
        <v>1824.5047641625406</v>
      </c>
      <c r="I15" s="134">
        <f t="shared" si="5"/>
        <v>1743.5788682834864</v>
      </c>
      <c r="J15" s="134">
        <f t="shared" si="5"/>
        <v>1860.2251955280599</v>
      </c>
      <c r="K15" s="134">
        <f t="shared" si="5"/>
        <v>1980.3709125899695</v>
      </c>
      <c r="L15" s="134">
        <f t="shared" si="5"/>
        <v>2104.1210011637377</v>
      </c>
      <c r="M15" s="134">
        <f t="shared" si="5"/>
        <v>2231.5835923947188</v>
      </c>
      <c r="N15" s="134">
        <f t="shared" si="5"/>
        <v>4507.502101231592</v>
      </c>
      <c r="O15" s="134">
        <f t="shared" si="5"/>
        <v>4642.7271642685409</v>
      </c>
      <c r="P15" s="134">
        <f t="shared" si="5"/>
        <v>4782.0089791965966</v>
      </c>
      <c r="Q15" s="134">
        <f t="shared" si="5"/>
        <v>4925.4692485724936</v>
      </c>
      <c r="R15" s="134">
        <f t="shared" si="5"/>
        <v>5073.2333260296691</v>
      </c>
      <c r="S15" s="134">
        <f t="shared" si="5"/>
        <v>5225.4303258105583</v>
      </c>
      <c r="T15" s="134">
        <f t="shared" si="5"/>
        <v>5382.1932355848749</v>
      </c>
      <c r="U15" s="134">
        <f t="shared" si="5"/>
        <v>5543.659032652422</v>
      </c>
      <c r="V15" s="134">
        <f t="shared" si="5"/>
        <v>5709.968803631994</v>
      </c>
      <c r="W15" s="134">
        <f t="shared" si="5"/>
        <v>5881.267867740954</v>
      </c>
    </row>
    <row r="16" spans="1:25" x14ac:dyDescent="0.3">
      <c r="A16" s="137">
        <v>7</v>
      </c>
      <c r="B16" s="303" t="s">
        <v>133</v>
      </c>
      <c r="C16" s="135"/>
      <c r="D16" s="134">
        <f t="shared" ref="D16:W16" si="6">D15/12</f>
        <v>115.15788349320822</v>
      </c>
      <c r="E16" s="134">
        <f t="shared" si="6"/>
        <v>123.97420009767696</v>
      </c>
      <c r="F16" s="134">
        <f t="shared" si="6"/>
        <v>133.05500620027965</v>
      </c>
      <c r="G16" s="134">
        <f t="shared" si="6"/>
        <v>142.40823648596051</v>
      </c>
      <c r="H16" s="134">
        <f t="shared" si="6"/>
        <v>152.04206368021173</v>
      </c>
      <c r="I16" s="134">
        <f t="shared" si="6"/>
        <v>145.29823902362386</v>
      </c>
      <c r="J16" s="134">
        <f t="shared" si="6"/>
        <v>155.01876629400499</v>
      </c>
      <c r="K16" s="134">
        <f t="shared" si="6"/>
        <v>165.03090938249747</v>
      </c>
      <c r="L16" s="134">
        <f t="shared" si="6"/>
        <v>175.3434167636448</v>
      </c>
      <c r="M16" s="134">
        <f t="shared" si="6"/>
        <v>185.96529936622656</v>
      </c>
      <c r="N16" s="131">
        <f t="shared" si="6"/>
        <v>375.62517510263268</v>
      </c>
      <c r="O16" s="131">
        <f t="shared" si="6"/>
        <v>386.89393035571175</v>
      </c>
      <c r="P16" s="131">
        <f t="shared" si="6"/>
        <v>398.50074826638303</v>
      </c>
      <c r="Q16" s="131">
        <f t="shared" si="6"/>
        <v>410.45577071437447</v>
      </c>
      <c r="R16" s="131">
        <f t="shared" si="6"/>
        <v>422.76944383580576</v>
      </c>
      <c r="S16" s="133">
        <f t="shared" si="6"/>
        <v>435.45252715087986</v>
      </c>
      <c r="T16" s="131">
        <f t="shared" si="6"/>
        <v>448.51610296540622</v>
      </c>
      <c r="U16" s="132">
        <f t="shared" si="6"/>
        <v>461.97158605436852</v>
      </c>
      <c r="V16" s="131">
        <f t="shared" si="6"/>
        <v>475.83073363599948</v>
      </c>
      <c r="W16" s="131">
        <f t="shared" si="6"/>
        <v>490.10565564507948</v>
      </c>
    </row>
    <row r="17" spans="1:23" x14ac:dyDescent="0.3">
      <c r="A17" s="307"/>
      <c r="B17" s="314"/>
      <c r="C17" s="123"/>
      <c r="D17" s="310"/>
      <c r="E17" s="310"/>
      <c r="F17" s="310"/>
      <c r="G17" s="310"/>
      <c r="H17" s="310"/>
      <c r="I17" s="310"/>
      <c r="J17" s="310"/>
      <c r="K17" s="310"/>
      <c r="L17" s="310"/>
      <c r="M17" s="310"/>
      <c r="N17" s="311"/>
      <c r="O17" s="311"/>
      <c r="P17" s="311"/>
      <c r="Q17" s="311"/>
      <c r="R17" s="311"/>
      <c r="S17" s="312"/>
      <c r="T17" s="311"/>
      <c r="U17" s="313"/>
      <c r="V17" s="311"/>
      <c r="W17" s="311"/>
    </row>
    <row r="18" spans="1:23" x14ac:dyDescent="0.3">
      <c r="B18" s="308" t="s">
        <v>138</v>
      </c>
      <c r="C18" s="315"/>
      <c r="D18" s="336">
        <f>'Calcul-Tech'!P28</f>
        <v>39856.614617940206</v>
      </c>
      <c r="E18" s="309" t="s">
        <v>112</v>
      </c>
      <c r="F18" s="315"/>
      <c r="U18" s="114"/>
    </row>
    <row r="19" spans="1:23" x14ac:dyDescent="0.3">
      <c r="B19" s="308" t="s">
        <v>102</v>
      </c>
      <c r="C19" s="315"/>
      <c r="D19" s="315">
        <f>'Input-data'!B31</f>
        <v>0.17</v>
      </c>
      <c r="E19" s="309" t="s">
        <v>143</v>
      </c>
      <c r="F19" s="315"/>
      <c r="U19" s="114"/>
    </row>
    <row r="20" spans="1:23" x14ac:dyDescent="0.3">
      <c r="B20" s="308" t="s">
        <v>139</v>
      </c>
      <c r="C20" s="315"/>
      <c r="D20" s="337">
        <f>'Summary_Tech-Design'!C15</f>
        <v>20744.274363455654</v>
      </c>
      <c r="E20" s="309" t="s">
        <v>112</v>
      </c>
      <c r="F20" s="315"/>
      <c r="U20" s="114"/>
    </row>
    <row r="21" spans="1:23" x14ac:dyDescent="0.3">
      <c r="B21" s="308" t="s">
        <v>72</v>
      </c>
      <c r="C21" s="315"/>
      <c r="D21" s="316">
        <f>'Summary_Tech-Design'!C14</f>
        <v>0.520472563018894</v>
      </c>
      <c r="E21" s="309"/>
      <c r="F21" s="315"/>
      <c r="U21" s="114"/>
    </row>
    <row r="22" spans="1:23" x14ac:dyDescent="0.3">
      <c r="B22" s="308" t="s">
        <v>141</v>
      </c>
      <c r="C22" s="315"/>
      <c r="D22" s="317">
        <f>'Input-data'!C29</f>
        <v>0.03</v>
      </c>
      <c r="E22" s="309" t="s">
        <v>144</v>
      </c>
      <c r="F22" s="315"/>
      <c r="U22" s="114"/>
    </row>
    <row r="23" spans="1:23" x14ac:dyDescent="0.3">
      <c r="U23" s="114"/>
    </row>
    <row r="24" spans="1:23" x14ac:dyDescent="0.3">
      <c r="U24" s="114"/>
    </row>
    <row r="25" spans="1:23" x14ac:dyDescent="0.3">
      <c r="U25" s="114"/>
    </row>
    <row r="26" spans="1:23" x14ac:dyDescent="0.3">
      <c r="U26" s="114"/>
    </row>
    <row r="27" spans="1:23" x14ac:dyDescent="0.3">
      <c r="U27" s="114"/>
    </row>
    <row r="28" spans="1:23" x14ac:dyDescent="0.3">
      <c r="U28" s="114"/>
    </row>
    <row r="29" spans="1:23" x14ac:dyDescent="0.3">
      <c r="U29" s="114"/>
    </row>
    <row r="30" spans="1:23" x14ac:dyDescent="0.3">
      <c r="U30" s="114"/>
    </row>
    <row r="31" spans="1:23" x14ac:dyDescent="0.3">
      <c r="U31" s="114"/>
    </row>
    <row r="32" spans="1:23" x14ac:dyDescent="0.3">
      <c r="U32" s="114"/>
    </row>
    <row r="33" spans="21:21" x14ac:dyDescent="0.3">
      <c r="U33" s="114"/>
    </row>
    <row r="34" spans="21:21" x14ac:dyDescent="0.3">
      <c r="U34" s="114"/>
    </row>
    <row r="35" spans="21:21" x14ac:dyDescent="0.3">
      <c r="U35" s="114"/>
    </row>
    <row r="36" spans="21:21" x14ac:dyDescent="0.3">
      <c r="U36" s="114"/>
    </row>
  </sheetData>
  <sheetProtection sheet="1" objects="1" scenarios="1" selectLockedCells="1" selectUnlockedCells="1"/>
  <mergeCells count="1">
    <mergeCell ref="B2:S2"/>
  </mergeCells>
  <pageMargins left="0.7" right="0.7" top="0.75" bottom="0.75" header="0.3" footer="0.3"/>
  <pageSetup paperSize="9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O26"/>
  <sheetViews>
    <sheetView workbookViewId="0">
      <selection activeCell="M10" sqref="M10"/>
    </sheetView>
  </sheetViews>
  <sheetFormatPr baseColWidth="10" defaultColWidth="11" defaultRowHeight="13.2" x14ac:dyDescent="0.25"/>
  <cols>
    <col min="1" max="5" width="11" style="155"/>
    <col min="6" max="6" width="8.5" style="155" customWidth="1"/>
    <col min="7" max="7" width="8.59765625" style="155" customWidth="1"/>
    <col min="8" max="8" width="9" style="155" customWidth="1"/>
    <col min="9" max="10" width="11" style="155"/>
    <col min="11" max="11" width="11.09765625" style="155" bestFit="1" customWidth="1"/>
    <col min="12" max="12" width="11.59765625" style="155" customWidth="1"/>
    <col min="13" max="13" width="11.5" style="155" customWidth="1"/>
    <col min="14" max="14" width="11" style="155" customWidth="1"/>
    <col min="15" max="15" width="7.8984375" style="155" customWidth="1"/>
    <col min="16" max="16384" width="11" style="155"/>
  </cols>
  <sheetData>
    <row r="5" spans="10:15" ht="15.6" x14ac:dyDescent="0.3">
      <c r="J5" s="157"/>
      <c r="K5" s="179" t="s">
        <v>156</v>
      </c>
      <c r="N5" s="157"/>
      <c r="O5" s="157"/>
    </row>
    <row r="6" spans="10:15" ht="15" x14ac:dyDescent="0.25">
      <c r="J6" s="157"/>
      <c r="K6" s="157"/>
      <c r="L6" s="157"/>
      <c r="O6" s="157"/>
    </row>
    <row r="7" spans="10:15" ht="15.6" x14ac:dyDescent="0.3">
      <c r="J7" s="178" t="s">
        <v>157</v>
      </c>
      <c r="K7" s="177" t="str">
        <f>'Input-data'!B2</f>
        <v>yyy</v>
      </c>
      <c r="M7" s="176" t="s">
        <v>75</v>
      </c>
      <c r="N7" s="175">
        <f>'Input-data'!C2</f>
        <v>44342</v>
      </c>
    </row>
    <row r="8" spans="10:15" ht="15" x14ac:dyDescent="0.25">
      <c r="J8" s="157"/>
      <c r="K8" s="157"/>
      <c r="L8" s="157"/>
      <c r="M8" s="157"/>
      <c r="N8" s="157"/>
      <c r="O8" s="157"/>
    </row>
    <row r="9" spans="10:15" ht="15.6" x14ac:dyDescent="0.3">
      <c r="J9" s="341"/>
      <c r="K9" s="170"/>
      <c r="L9" s="174" t="s">
        <v>158</v>
      </c>
      <c r="M9" s="339">
        <f>'calcul-ROIC'!G24</f>
        <v>5.7280157083291998</v>
      </c>
      <c r="N9" s="171" t="s">
        <v>74</v>
      </c>
      <c r="O9" s="164"/>
    </row>
    <row r="10" spans="10:15" ht="15.6" x14ac:dyDescent="0.3">
      <c r="J10" s="236"/>
      <c r="K10" s="236"/>
      <c r="L10" s="237" t="s">
        <v>159</v>
      </c>
      <c r="M10" s="345">
        <f>'calcul-ROIC'!G25</f>
        <v>0.17458052682116146</v>
      </c>
      <c r="N10" s="238"/>
      <c r="O10" s="173"/>
    </row>
    <row r="11" spans="10:15" ht="15.6" x14ac:dyDescent="0.3">
      <c r="J11" s="342"/>
      <c r="K11" s="239"/>
      <c r="L11" s="240" t="s">
        <v>160</v>
      </c>
      <c r="M11" s="241">
        <f>'calcul-ROIC'!E17</f>
        <v>0.520472563018894</v>
      </c>
      <c r="N11" s="242"/>
      <c r="O11" s="172"/>
    </row>
    <row r="12" spans="10:15" ht="15.6" x14ac:dyDescent="0.3">
      <c r="J12" s="236"/>
      <c r="K12" s="236"/>
      <c r="L12" s="243" t="s">
        <v>162</v>
      </c>
      <c r="M12" s="244">
        <f>'Input-data'!B25</f>
        <v>20200</v>
      </c>
      <c r="N12" s="239" t="s">
        <v>66</v>
      </c>
      <c r="O12" s="170"/>
    </row>
    <row r="13" spans="10:15" ht="15.6" x14ac:dyDescent="0.3">
      <c r="J13" s="343"/>
      <c r="K13" s="245"/>
      <c r="L13" s="246" t="s">
        <v>161</v>
      </c>
      <c r="M13" s="244">
        <f>'Input-data'!E22*'Input-data'!B22</f>
        <v>0</v>
      </c>
      <c r="N13" s="247" t="s">
        <v>66</v>
      </c>
      <c r="O13" s="169">
        <f>'Input-data'!E22</f>
        <v>0</v>
      </c>
    </row>
    <row r="14" spans="10:15" ht="15.6" x14ac:dyDescent="0.3">
      <c r="J14" s="344"/>
      <c r="K14" s="250"/>
      <c r="L14" s="240" t="s">
        <v>163</v>
      </c>
      <c r="M14" s="251">
        <f>'Input-data'!B23+'Input-data'!B22</f>
        <v>20200</v>
      </c>
      <c r="N14" s="247" t="s">
        <v>66</v>
      </c>
      <c r="O14" s="158"/>
    </row>
    <row r="15" spans="10:15" ht="15" x14ac:dyDescent="0.25">
      <c r="J15" s="340"/>
      <c r="K15" s="248"/>
      <c r="L15" s="248"/>
      <c r="M15" s="249"/>
      <c r="N15" s="248"/>
      <c r="O15" s="168"/>
    </row>
    <row r="16" spans="10:15" ht="15.6" x14ac:dyDescent="0.3">
      <c r="J16" s="167"/>
      <c r="K16" s="166"/>
      <c r="L16" s="159" t="str">
        <f>'Input-data'!A31</f>
        <v>Energy cost</v>
      </c>
      <c r="M16" s="338">
        <f>'Input-data'!B31</f>
        <v>0.17</v>
      </c>
      <c r="N16" s="165" t="str">
        <f>'Input-data'!C31</f>
        <v>euro HT/ kWh</v>
      </c>
      <c r="O16" s="164"/>
    </row>
    <row r="19" spans="2:13" ht="15" x14ac:dyDescent="0.25">
      <c r="I19" s="157"/>
      <c r="J19" s="157"/>
      <c r="K19" s="157"/>
      <c r="L19" s="157"/>
      <c r="M19" s="157"/>
    </row>
    <row r="26" spans="2:13" ht="15.6" x14ac:dyDescent="0.3">
      <c r="B26" s="163"/>
      <c r="C26" s="158"/>
      <c r="D26" s="158"/>
      <c r="E26" s="156" t="str">
        <f>'calcul-ROIC'!D13</f>
        <v>Energy price increasing /year</v>
      </c>
      <c r="F26" s="162">
        <f>'calcul-ROIC'!E13</f>
        <v>0.01</v>
      </c>
      <c r="G26" s="161">
        <f>'calcul-ROIC'!F13</f>
        <v>0.03</v>
      </c>
      <c r="H26" s="160">
        <f>'calcul-ROIC'!G13</f>
        <v>0.05</v>
      </c>
    </row>
  </sheetData>
  <sheetProtection sheet="1" selectLockedCells="1" selectUnlockedCells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6"/>
  <sheetViews>
    <sheetView tabSelected="1" topLeftCell="A3" zoomScale="110" zoomScaleNormal="110" workbookViewId="0">
      <selection activeCell="C21" sqref="C21"/>
    </sheetView>
  </sheetViews>
  <sheetFormatPr baseColWidth="10" defaultRowHeight="13.8" x14ac:dyDescent="0.25"/>
  <cols>
    <col min="1" max="1" width="4.19921875" customWidth="1"/>
    <col min="2" max="2" width="37.59765625" customWidth="1"/>
    <col min="3" max="3" width="11.19921875" customWidth="1"/>
    <col min="4" max="4" width="7.19921875" customWidth="1"/>
    <col min="5" max="5" width="5.59765625" customWidth="1"/>
    <col min="6" max="6" width="55.5" customWidth="1"/>
    <col min="7" max="7" width="11.19921875" style="73" customWidth="1"/>
    <col min="8" max="8" width="13.69921875" customWidth="1"/>
  </cols>
  <sheetData>
    <row r="2" spans="2:8" ht="15.6" x14ac:dyDescent="0.3">
      <c r="B2" s="113" t="s">
        <v>115</v>
      </c>
      <c r="C2" s="62">
        <f>'Calcul-Tech'!D3</f>
        <v>30</v>
      </c>
      <c r="D2" s="352"/>
      <c r="E2" s="106"/>
      <c r="F2" s="53"/>
      <c r="G2" s="64"/>
      <c r="H2" s="54"/>
    </row>
    <row r="3" spans="2:8" ht="15.6" x14ac:dyDescent="0.3">
      <c r="B3" s="113" t="s">
        <v>116</v>
      </c>
      <c r="C3" s="62">
        <f>'Calcul-Tech'!D4</f>
        <v>4</v>
      </c>
      <c r="D3" s="352"/>
      <c r="E3" s="106"/>
      <c r="F3" s="65" t="s">
        <v>36</v>
      </c>
      <c r="G3" s="65" t="s">
        <v>40</v>
      </c>
      <c r="H3" s="110" t="str">
        <f>'Input-data'!B2</f>
        <v>yyy</v>
      </c>
    </row>
    <row r="4" spans="2:8" ht="15.6" x14ac:dyDescent="0.3">
      <c r="B4" s="113" t="s">
        <v>117</v>
      </c>
      <c r="C4" s="62">
        <f>'Calcul-Tech'!D5</f>
        <v>120</v>
      </c>
      <c r="D4" s="352"/>
      <c r="E4" s="106"/>
      <c r="F4" s="64"/>
      <c r="G4" s="65" t="s">
        <v>41</v>
      </c>
      <c r="H4" s="111">
        <f>'Input-data'!C2</f>
        <v>44342</v>
      </c>
    </row>
    <row r="5" spans="2:8" ht="15.6" x14ac:dyDescent="0.3">
      <c r="B5" s="53"/>
      <c r="C5" s="58"/>
      <c r="D5" s="58"/>
      <c r="E5" s="58"/>
      <c r="F5" s="53"/>
      <c r="G5" s="64"/>
      <c r="H5" s="54"/>
    </row>
    <row r="6" spans="2:8" ht="15.6" x14ac:dyDescent="0.3">
      <c r="B6" s="295" t="s">
        <v>118</v>
      </c>
      <c r="C6" s="55" t="s">
        <v>34</v>
      </c>
      <c r="D6" s="55"/>
      <c r="E6" s="55"/>
      <c r="F6" s="55"/>
      <c r="G6" s="69"/>
      <c r="H6" s="63"/>
    </row>
    <row r="7" spans="2:8" ht="15.6" x14ac:dyDescent="0.3">
      <c r="B7" s="296" t="s">
        <v>119</v>
      </c>
      <c r="C7" s="59">
        <f>'Calcul-Tech'!P21</f>
        <v>313686</v>
      </c>
      <c r="D7" s="59" t="s">
        <v>187</v>
      </c>
      <c r="E7" s="107"/>
      <c r="F7" s="56"/>
      <c r="G7" s="70"/>
      <c r="H7" s="63"/>
    </row>
    <row r="8" spans="2:8" ht="15.6" x14ac:dyDescent="0.3">
      <c r="B8" s="297" t="s">
        <v>120</v>
      </c>
      <c r="C8" s="60">
        <f>'Calcul-Tech'!P24</f>
        <v>39856.614617940206</v>
      </c>
      <c r="D8" s="60" t="s">
        <v>186</v>
      </c>
      <c r="E8" s="108"/>
      <c r="F8" s="56" t="s">
        <v>38</v>
      </c>
      <c r="G8" s="71">
        <f>C8/12.8</f>
        <v>3113.7980170265782</v>
      </c>
      <c r="H8" s="68" t="s">
        <v>113</v>
      </c>
    </row>
    <row r="9" spans="2:8" ht="15.6" x14ac:dyDescent="0.3">
      <c r="B9" s="392" t="s">
        <v>108</v>
      </c>
      <c r="C9" s="390">
        <f>'Calcul-Tech'!P22</f>
        <v>25109.667209302326</v>
      </c>
      <c r="D9" s="390" t="s">
        <v>186</v>
      </c>
      <c r="E9" s="393" t="s">
        <v>51</v>
      </c>
      <c r="F9" s="56" t="s">
        <v>38</v>
      </c>
      <c r="G9" s="70">
        <f t="shared" ref="G9:G11" si="0">C9/12.8</f>
        <v>1961.6927507267442</v>
      </c>
      <c r="H9" s="68" t="s">
        <v>113</v>
      </c>
    </row>
    <row r="10" spans="2:8" ht="15.6" x14ac:dyDescent="0.3">
      <c r="B10" s="392" t="s">
        <v>121</v>
      </c>
      <c r="C10" s="390">
        <f>IF('Calcul-Tech'!P32&gt;'Calcul-Tech'!P22,'Calcul-Tech'!P22,'Calcul-Tech'!P32)</f>
        <v>13068.892848977061</v>
      </c>
      <c r="D10" s="390" t="s">
        <v>186</v>
      </c>
      <c r="E10" s="393" t="s">
        <v>53</v>
      </c>
      <c r="F10" s="56" t="s">
        <v>38</v>
      </c>
      <c r="G10" s="71">
        <f t="shared" si="0"/>
        <v>1021.0072538263328</v>
      </c>
      <c r="H10" s="68" t="s">
        <v>113</v>
      </c>
    </row>
    <row r="11" spans="2:8" ht="31.2" x14ac:dyDescent="0.3">
      <c r="B11" s="298" t="s">
        <v>122</v>
      </c>
      <c r="C11" s="60">
        <f>'Calcul-Tech'!P33</f>
        <v>16495.860873645615</v>
      </c>
      <c r="D11" s="59" t="s">
        <v>186</v>
      </c>
      <c r="E11" s="108"/>
      <c r="F11" s="56" t="s">
        <v>38</v>
      </c>
      <c r="G11" s="71">
        <f t="shared" si="0"/>
        <v>1288.7391307535636</v>
      </c>
      <c r="H11" s="68" t="s">
        <v>113</v>
      </c>
    </row>
    <row r="12" spans="2:8" ht="15.6" x14ac:dyDescent="0.3">
      <c r="B12" s="299" t="s">
        <v>123</v>
      </c>
      <c r="C12" s="61">
        <v>4</v>
      </c>
      <c r="D12" s="353" t="s">
        <v>188</v>
      </c>
      <c r="E12" s="109"/>
      <c r="F12" s="57" t="s">
        <v>192</v>
      </c>
      <c r="G12" s="72">
        <f>C10/C12/C3</f>
        <v>816.80580306106629</v>
      </c>
      <c r="H12" s="112" t="s">
        <v>114</v>
      </c>
    </row>
    <row r="13" spans="2:8" ht="15.6" x14ac:dyDescent="0.3">
      <c r="B13" s="299" t="s">
        <v>124</v>
      </c>
      <c r="C13" s="61">
        <v>3</v>
      </c>
      <c r="D13" s="353" t="s">
        <v>188</v>
      </c>
      <c r="E13" s="109"/>
      <c r="F13" s="57" t="s">
        <v>194</v>
      </c>
      <c r="G13" s="72">
        <f>C10/C3/C13</f>
        <v>1089.0744040814218</v>
      </c>
      <c r="H13" s="112" t="s">
        <v>114</v>
      </c>
    </row>
    <row r="14" spans="2:8" ht="15.6" x14ac:dyDescent="0.3">
      <c r="B14" s="296" t="s">
        <v>110</v>
      </c>
      <c r="C14" s="383">
        <f>'Calcul-Tech'!P35</f>
        <v>0.520472563018894</v>
      </c>
      <c r="D14" s="59"/>
      <c r="E14" s="384" t="s">
        <v>57</v>
      </c>
      <c r="F14" s="57" t="s">
        <v>193</v>
      </c>
      <c r="G14" s="72">
        <f>C15/C3/C12</f>
        <v>1296.5171477159784</v>
      </c>
      <c r="H14" s="112" t="s">
        <v>114</v>
      </c>
    </row>
    <row r="15" spans="2:8" ht="15.6" x14ac:dyDescent="0.3">
      <c r="B15" s="388" t="s">
        <v>109</v>
      </c>
      <c r="C15" s="389">
        <f>C14*C8</f>
        <v>20744.274363455654</v>
      </c>
      <c r="D15" s="390" t="s">
        <v>186</v>
      </c>
      <c r="E15" s="391" t="s">
        <v>58</v>
      </c>
      <c r="F15" s="56" t="s">
        <v>125</v>
      </c>
      <c r="G15" s="70">
        <f>C15/12.8</f>
        <v>1620.6464346449729</v>
      </c>
      <c r="H15" s="68" t="s">
        <v>113</v>
      </c>
    </row>
    <row r="16" spans="2:8" ht="15.6" x14ac:dyDescent="0.3">
      <c r="B16" s="385" t="s">
        <v>111</v>
      </c>
      <c r="C16" s="386">
        <f>C15*230/1000</f>
        <v>4771.1831035948007</v>
      </c>
      <c r="D16" s="59" t="s">
        <v>189</v>
      </c>
      <c r="E16" s="387"/>
      <c r="F16" s="56" t="s">
        <v>196</v>
      </c>
      <c r="G16" s="354">
        <f>'Input-data'!B25/'Summary_Tech-Design'!C15</f>
        <v>0.97376267041596409</v>
      </c>
      <c r="H16" s="62" t="s">
        <v>185</v>
      </c>
    </row>
  </sheetData>
  <sheetProtection sheet="1" selectLockedCells="1" selectUnlockedCells="1"/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showGridLines="0" zoomScale="110" zoomScaleNormal="110" workbookViewId="0">
      <selection activeCell="G16" sqref="G16"/>
    </sheetView>
  </sheetViews>
  <sheetFormatPr baseColWidth="10" defaultColWidth="10" defaultRowHeight="13.2" outlineLevelCol="1" x14ac:dyDescent="0.25"/>
  <cols>
    <col min="1" max="1" width="15.59765625" style="180" customWidth="1"/>
    <col min="2" max="2" width="26.5" style="180" customWidth="1"/>
    <col min="3" max="3" width="21.3984375" style="180" customWidth="1"/>
    <col min="4" max="4" width="29.19921875" style="180" customWidth="1"/>
    <col min="5" max="5" width="14" style="180" customWidth="1"/>
    <col min="6" max="6" width="10.3984375" style="180" customWidth="1"/>
    <col min="7" max="7" width="9.3984375" style="180" customWidth="1"/>
    <col min="8" max="8" width="14.5" style="181" hidden="1" customWidth="1" outlineLevel="1"/>
    <col min="9" max="13" width="16.19921875" style="181" hidden="1" customWidth="1" outlineLevel="1"/>
    <col min="14" max="14" width="4.3984375" style="181" hidden="1" customWidth="1" outlineLevel="1"/>
    <col min="15" max="15" width="6" style="181" hidden="1" customWidth="1" outlineLevel="1"/>
    <col min="16" max="18" width="12" style="181" hidden="1" customWidth="1" outlineLevel="1"/>
    <col min="19" max="19" width="10" style="180" hidden="1" customWidth="1" outlineLevel="1"/>
    <col min="20" max="20" width="9.3984375" style="180" hidden="1" customWidth="1" outlineLevel="1"/>
    <col min="21" max="21" width="9.3984375" style="180" customWidth="1" collapsed="1"/>
    <col min="22" max="22" width="9.3984375" style="180" customWidth="1"/>
    <col min="23" max="16384" width="10" style="180"/>
  </cols>
  <sheetData>
    <row r="1" spans="1:22" s="216" customFormat="1" x14ac:dyDescent="0.25">
      <c r="A1" s="221"/>
      <c r="E1" s="219"/>
      <c r="F1" s="219"/>
      <c r="G1" s="219"/>
      <c r="H1" s="402" t="s">
        <v>84</v>
      </c>
      <c r="I1" s="402"/>
      <c r="J1" s="402" t="s">
        <v>83</v>
      </c>
      <c r="K1" s="402"/>
      <c r="L1" s="402" t="s">
        <v>82</v>
      </c>
      <c r="M1" s="402"/>
      <c r="N1" s="185"/>
      <c r="O1" s="185"/>
      <c r="P1" s="220" t="s">
        <v>84</v>
      </c>
      <c r="Q1" s="220" t="s">
        <v>83</v>
      </c>
      <c r="R1" s="220" t="s">
        <v>82</v>
      </c>
      <c r="S1" s="220"/>
      <c r="T1" s="220" t="s">
        <v>84</v>
      </c>
      <c r="U1" s="220" t="s">
        <v>83</v>
      </c>
      <c r="V1" s="220" t="s">
        <v>82</v>
      </c>
    </row>
    <row r="2" spans="1:22" x14ac:dyDescent="0.25">
      <c r="A2" s="214"/>
      <c r="B2" s="216"/>
      <c r="C2" s="184"/>
      <c r="D2" s="216"/>
      <c r="E2" s="219"/>
      <c r="F2" s="219"/>
      <c r="G2" s="219"/>
      <c r="H2" s="218" t="s">
        <v>81</v>
      </c>
      <c r="I2" s="218" t="s">
        <v>80</v>
      </c>
      <c r="J2" s="218" t="s">
        <v>81</v>
      </c>
      <c r="K2" s="218" t="s">
        <v>80</v>
      </c>
      <c r="L2" s="218" t="s">
        <v>81</v>
      </c>
      <c r="M2" s="218" t="s">
        <v>80</v>
      </c>
      <c r="N2" s="218"/>
      <c r="O2" s="218" t="s">
        <v>17</v>
      </c>
      <c r="P2" s="217" t="s">
        <v>79</v>
      </c>
      <c r="Q2" s="217" t="s">
        <v>78</v>
      </c>
      <c r="R2" s="217" t="s">
        <v>77</v>
      </c>
      <c r="S2" s="216"/>
      <c r="T2" s="401" t="s">
        <v>76</v>
      </c>
      <c r="U2" s="401"/>
      <c r="V2" s="401"/>
    </row>
    <row r="3" spans="1:22" ht="13.8" x14ac:dyDescent="0.3">
      <c r="A3" s="214"/>
      <c r="B3" s="212"/>
      <c r="C3" s="215"/>
      <c r="D3" s="212"/>
      <c r="E3" s="209"/>
      <c r="F3" s="209"/>
      <c r="G3" s="209"/>
      <c r="H3" s="190">
        <v>0</v>
      </c>
      <c r="I3" s="190">
        <f>SUM($H$3:H3)</f>
        <v>0</v>
      </c>
      <c r="J3" s="190">
        <v>0</v>
      </c>
      <c r="K3" s="190">
        <f>SUM($H$3:J3)</f>
        <v>0</v>
      </c>
      <c r="L3" s="190">
        <v>0</v>
      </c>
      <c r="M3" s="190">
        <f>SUM($H$3:L3)</f>
        <v>0</v>
      </c>
      <c r="N3" s="190"/>
      <c r="O3" s="185">
        <v>0</v>
      </c>
      <c r="P3" s="189">
        <f>-$E$9-$E$10+I3</f>
        <v>-20200</v>
      </c>
      <c r="Q3" s="189">
        <f>-$E$9-$E$10+K3</f>
        <v>-20200</v>
      </c>
      <c r="R3" s="189">
        <f>-$E$9-$E$10+M3</f>
        <v>-20200</v>
      </c>
      <c r="S3" s="184"/>
      <c r="T3" s="183">
        <f t="shared" ref="T3:T23" si="0">H3/$E$8</f>
        <v>0</v>
      </c>
      <c r="U3" s="188">
        <f t="shared" ref="U3:U23" si="1">J3/$E$8</f>
        <v>0</v>
      </c>
      <c r="V3" s="188">
        <f t="shared" ref="V3:V23" si="2">L3/$E$8</f>
        <v>0</v>
      </c>
    </row>
    <row r="4" spans="1:22" x14ac:dyDescent="0.25">
      <c r="A4" s="214"/>
      <c r="B4" s="213"/>
      <c r="C4" s="184"/>
      <c r="D4" s="212"/>
      <c r="E4" s="209"/>
      <c r="F4" s="209"/>
      <c r="G4" s="209"/>
      <c r="H4" s="190">
        <f>$E$15</f>
        <v>3526.5266417874614</v>
      </c>
      <c r="I4" s="190">
        <f>SUM($H$3:H4)</f>
        <v>3526.5266417874614</v>
      </c>
      <c r="J4" s="190">
        <f>$E$15</f>
        <v>3526.5266417874614</v>
      </c>
      <c r="K4" s="190">
        <f>SUM($J$3:J4)</f>
        <v>3526.5266417874614</v>
      </c>
      <c r="L4" s="190">
        <f>$E$15</f>
        <v>3526.5266417874614</v>
      </c>
      <c r="M4" s="190">
        <f>SUM($L$3:L4)</f>
        <v>3526.5266417874614</v>
      </c>
      <c r="N4" s="190"/>
      <c r="O4" s="185">
        <v>1</v>
      </c>
      <c r="P4" s="189">
        <f t="shared" ref="P4:P23" si="3">-$E$9-$E$10+$E$12*$E$9+I4</f>
        <v>-16673.473358212537</v>
      </c>
      <c r="Q4" s="189">
        <f t="shared" ref="Q4:Q23" si="4">-$E$9-$E$10+$E$12*$E$9+K4</f>
        <v>-16673.473358212537</v>
      </c>
      <c r="R4" s="189">
        <f t="shared" ref="R4:R23" si="5">-$E$9-$E$10+$E$12*$E$9+M4</f>
        <v>-16673.473358212537</v>
      </c>
      <c r="S4" s="184"/>
      <c r="T4" s="183">
        <f t="shared" si="0"/>
        <v>0.17458052682116146</v>
      </c>
      <c r="U4" s="188">
        <f t="shared" si="1"/>
        <v>0.17458052682116146</v>
      </c>
      <c r="V4" s="188">
        <f t="shared" si="2"/>
        <v>0.17458052682116146</v>
      </c>
    </row>
    <row r="5" spans="1:22" x14ac:dyDescent="0.25">
      <c r="A5" s="184"/>
      <c r="B5" s="184"/>
      <c r="C5" s="184"/>
      <c r="D5" s="211"/>
      <c r="E5" s="210"/>
      <c r="F5" s="209"/>
      <c r="G5" s="209"/>
      <c r="H5" s="191">
        <f t="shared" ref="H5:H23" si="6">H4*(1+$E$13)</f>
        <v>3561.7919082053359</v>
      </c>
      <c r="I5" s="190">
        <f>SUM($H$3:H5)</f>
        <v>7088.3185499927968</v>
      </c>
      <c r="J5" s="191">
        <f t="shared" ref="J5:J23" si="7">J4*(1+$F$13)</f>
        <v>3632.3224410410853</v>
      </c>
      <c r="K5" s="190">
        <f>SUM($J$3:J5)</f>
        <v>7158.8490828285467</v>
      </c>
      <c r="L5" s="191">
        <f t="shared" ref="L5:L23" si="8">L4*(1+$G$13)</f>
        <v>3702.8529738768348</v>
      </c>
      <c r="M5" s="190">
        <f>SUM($L$3:L5)</f>
        <v>7229.3796156642966</v>
      </c>
      <c r="N5" s="190"/>
      <c r="O5" s="185">
        <v>2</v>
      </c>
      <c r="P5" s="189">
        <f t="shared" si="3"/>
        <v>-13111.681450007203</v>
      </c>
      <c r="Q5" s="189">
        <f t="shared" si="4"/>
        <v>-13041.150917171453</v>
      </c>
      <c r="R5" s="189">
        <f t="shared" si="5"/>
        <v>-12970.620384335703</v>
      </c>
      <c r="S5" s="184"/>
      <c r="T5" s="183">
        <f t="shared" si="0"/>
        <v>0.17632633208937307</v>
      </c>
      <c r="U5" s="188">
        <f t="shared" si="1"/>
        <v>0.17981794262579631</v>
      </c>
      <c r="V5" s="188">
        <f t="shared" si="2"/>
        <v>0.18330955316221953</v>
      </c>
    </row>
    <row r="6" spans="1:22" x14ac:dyDescent="0.25">
      <c r="A6" s="184"/>
      <c r="B6" s="184"/>
      <c r="C6" s="184"/>
      <c r="D6" s="211"/>
      <c r="E6" s="210"/>
      <c r="F6" s="209"/>
      <c r="G6" s="209"/>
      <c r="H6" s="191">
        <f t="shared" si="6"/>
        <v>3597.4098272873894</v>
      </c>
      <c r="I6" s="190">
        <f>SUM($H$3:H6)</f>
        <v>10685.728377280186</v>
      </c>
      <c r="J6" s="191">
        <f t="shared" si="7"/>
        <v>3741.292114272318</v>
      </c>
      <c r="K6" s="190">
        <f>SUM($J$3:J6)</f>
        <v>10900.141197100864</v>
      </c>
      <c r="L6" s="191">
        <f t="shared" si="8"/>
        <v>3887.9956225706765</v>
      </c>
      <c r="M6" s="190">
        <f>SUM($L$3:L6)</f>
        <v>11117.375238234974</v>
      </c>
      <c r="N6" s="190"/>
      <c r="O6" s="185">
        <v>3</v>
      </c>
      <c r="P6" s="189">
        <f t="shared" si="3"/>
        <v>-9514.2716227198143</v>
      </c>
      <c r="Q6" s="189">
        <f t="shared" si="4"/>
        <v>-9299.8588028991362</v>
      </c>
      <c r="R6" s="189">
        <f t="shared" si="5"/>
        <v>-9082.6247617650261</v>
      </c>
      <c r="S6" s="184"/>
      <c r="T6" s="183">
        <f t="shared" si="0"/>
        <v>0.17808959541026681</v>
      </c>
      <c r="U6" s="188">
        <f t="shared" si="1"/>
        <v>0.18521248090457021</v>
      </c>
      <c r="V6" s="188">
        <f t="shared" si="2"/>
        <v>0.19247503082033052</v>
      </c>
    </row>
    <row r="7" spans="1:22" x14ac:dyDescent="0.25">
      <c r="A7" s="184"/>
      <c r="B7" s="184"/>
      <c r="C7" s="184"/>
      <c r="D7" s="184"/>
      <c r="E7" s="184"/>
      <c r="F7" s="184"/>
      <c r="G7" s="184"/>
      <c r="H7" s="191">
        <f t="shared" si="6"/>
        <v>3633.3839255602634</v>
      </c>
      <c r="I7" s="190">
        <f>SUM($H$3:H7)</f>
        <v>14319.112302840449</v>
      </c>
      <c r="J7" s="191">
        <f t="shared" si="7"/>
        <v>3853.5308777004875</v>
      </c>
      <c r="K7" s="190">
        <f>SUM($J$3:J7)</f>
        <v>14753.67207480135</v>
      </c>
      <c r="L7" s="191">
        <f t="shared" si="8"/>
        <v>4082.3954036992104</v>
      </c>
      <c r="M7" s="190">
        <f>SUM($L$3:L7)</f>
        <v>15199.770641934185</v>
      </c>
      <c r="N7" s="190"/>
      <c r="O7" s="185">
        <v>4</v>
      </c>
      <c r="P7" s="189">
        <f t="shared" si="3"/>
        <v>-5880.887697159551</v>
      </c>
      <c r="Q7" s="189">
        <f t="shared" si="4"/>
        <v>-5446.3279251986496</v>
      </c>
      <c r="R7" s="189">
        <f t="shared" si="5"/>
        <v>-5000.2293580658152</v>
      </c>
      <c r="S7" s="184"/>
      <c r="T7" s="183">
        <f t="shared" si="0"/>
        <v>0.17987049136436947</v>
      </c>
      <c r="U7" s="188">
        <f t="shared" si="1"/>
        <v>0.19076885533170732</v>
      </c>
      <c r="V7" s="188">
        <f t="shared" si="2"/>
        <v>0.20209878236134704</v>
      </c>
    </row>
    <row r="8" spans="1:22" x14ac:dyDescent="0.25">
      <c r="A8" s="184"/>
      <c r="B8" s="184"/>
      <c r="C8" s="184"/>
      <c r="D8" s="261" t="s">
        <v>148</v>
      </c>
      <c r="E8" s="208">
        <f>($E$9)*(1-E12)+$E$10</f>
        <v>20200</v>
      </c>
      <c r="F8" s="207"/>
      <c r="G8" s="207"/>
      <c r="H8" s="191">
        <f t="shared" si="6"/>
        <v>3669.7177648158658</v>
      </c>
      <c r="I8" s="190">
        <f>SUM($H$3:H8)</f>
        <v>17988.830067656316</v>
      </c>
      <c r="J8" s="191">
        <f t="shared" si="7"/>
        <v>3969.1368040315024</v>
      </c>
      <c r="K8" s="190">
        <f>SUM($J$3:J8)</f>
        <v>18722.808878832853</v>
      </c>
      <c r="L8" s="191">
        <f t="shared" si="8"/>
        <v>4286.5151738841714</v>
      </c>
      <c r="M8" s="190">
        <f>SUM($L$3:L8)</f>
        <v>19486.285815818355</v>
      </c>
      <c r="N8" s="190"/>
      <c r="O8" s="185">
        <v>5</v>
      </c>
      <c r="P8" s="189">
        <f t="shared" si="3"/>
        <v>-2211.1699323436842</v>
      </c>
      <c r="Q8" s="189">
        <f t="shared" si="4"/>
        <v>-1477.1911211671468</v>
      </c>
      <c r="R8" s="189">
        <f t="shared" si="5"/>
        <v>-713.71418418164467</v>
      </c>
      <c r="S8" s="184"/>
      <c r="T8" s="183">
        <f t="shared" si="0"/>
        <v>0.18166919627801317</v>
      </c>
      <c r="U8" s="188">
        <f t="shared" si="1"/>
        <v>0.19649192099165855</v>
      </c>
      <c r="V8" s="188">
        <f t="shared" si="2"/>
        <v>0.21220372147941444</v>
      </c>
    </row>
    <row r="9" spans="1:22" x14ac:dyDescent="0.25">
      <c r="A9" s="184"/>
      <c r="B9" s="184"/>
      <c r="C9" s="184"/>
      <c r="D9" s="261" t="s">
        <v>100</v>
      </c>
      <c r="E9" s="206">
        <f>'Input-data'!B22</f>
        <v>20200</v>
      </c>
      <c r="F9" s="194"/>
      <c r="G9" s="194"/>
      <c r="H9" s="191">
        <f t="shared" si="6"/>
        <v>3706.4149424640245</v>
      </c>
      <c r="I9" s="190">
        <f>SUM($H$3:H9)</f>
        <v>21695.245010120339</v>
      </c>
      <c r="J9" s="191">
        <f t="shared" si="7"/>
        <v>4088.2109081524477</v>
      </c>
      <c r="K9" s="190">
        <f>SUM($J$3:J9)</f>
        <v>22811.0197869853</v>
      </c>
      <c r="L9" s="191">
        <f t="shared" si="8"/>
        <v>4500.8409325783805</v>
      </c>
      <c r="M9" s="190">
        <f>SUM($L$3:L9)</f>
        <v>23987.126748396735</v>
      </c>
      <c r="N9" s="190"/>
      <c r="O9" s="185">
        <v>6</v>
      </c>
      <c r="P9" s="189">
        <f t="shared" si="3"/>
        <v>1495.2450101203394</v>
      </c>
      <c r="Q9" s="189">
        <f t="shared" si="4"/>
        <v>2611.0197869853</v>
      </c>
      <c r="R9" s="189">
        <f t="shared" si="5"/>
        <v>3787.1267483967349</v>
      </c>
      <c r="S9" s="184"/>
      <c r="T9" s="183">
        <f t="shared" si="0"/>
        <v>0.18348588824079329</v>
      </c>
      <c r="U9" s="188">
        <f t="shared" si="1"/>
        <v>0.2023866786214083</v>
      </c>
      <c r="V9" s="188">
        <f t="shared" si="2"/>
        <v>0.22281390755338518</v>
      </c>
    </row>
    <row r="10" spans="1:22" x14ac:dyDescent="0.25">
      <c r="A10" s="184"/>
      <c r="B10" s="184"/>
      <c r="C10" s="184"/>
      <c r="D10" s="261" t="s">
        <v>101</v>
      </c>
      <c r="E10" s="206">
        <f>'Input-data'!B23</f>
        <v>0</v>
      </c>
      <c r="F10" s="194"/>
      <c r="G10" s="194"/>
      <c r="H10" s="191">
        <f t="shared" si="6"/>
        <v>3743.4790918886647</v>
      </c>
      <c r="I10" s="190">
        <f>SUM($H$3:H10)</f>
        <v>25438.724102009004</v>
      </c>
      <c r="J10" s="191">
        <f t="shared" si="7"/>
        <v>4210.8572353970212</v>
      </c>
      <c r="K10" s="190">
        <f>SUM($J$3:J10)</f>
        <v>27021.877022382323</v>
      </c>
      <c r="L10" s="191">
        <f t="shared" si="8"/>
        <v>4725.8829792072993</v>
      </c>
      <c r="M10" s="190">
        <f>SUM($L$3:L10)</f>
        <v>28713.009727604032</v>
      </c>
      <c r="N10" s="190"/>
      <c r="O10" s="185">
        <v>7</v>
      </c>
      <c r="P10" s="189">
        <f t="shared" si="3"/>
        <v>5238.7241020090041</v>
      </c>
      <c r="Q10" s="189">
        <f t="shared" si="4"/>
        <v>6821.877022382323</v>
      </c>
      <c r="R10" s="189">
        <f t="shared" si="5"/>
        <v>8513.0097276040324</v>
      </c>
      <c r="S10" s="184"/>
      <c r="T10" s="183">
        <f t="shared" si="0"/>
        <v>0.18532074712320123</v>
      </c>
      <c r="U10" s="188">
        <f t="shared" si="1"/>
        <v>0.20845827898005057</v>
      </c>
      <c r="V10" s="188">
        <f t="shared" si="2"/>
        <v>0.23395460293105441</v>
      </c>
    </row>
    <row r="11" spans="1:22" x14ac:dyDescent="0.25">
      <c r="A11" s="184"/>
      <c r="B11" s="184"/>
      <c r="C11" s="184"/>
      <c r="D11" s="333"/>
      <c r="E11" s="184"/>
      <c r="F11" s="184"/>
      <c r="G11" s="184"/>
      <c r="H11" s="191">
        <f t="shared" si="6"/>
        <v>3780.9138828075515</v>
      </c>
      <c r="I11" s="190">
        <f>SUM($H$3:H11)</f>
        <v>29219.637984816556</v>
      </c>
      <c r="J11" s="191">
        <f t="shared" si="7"/>
        <v>4337.182952458932</v>
      </c>
      <c r="K11" s="190">
        <f>SUM($J$3:J11)</f>
        <v>31359.059974841257</v>
      </c>
      <c r="L11" s="191">
        <f t="shared" si="8"/>
        <v>4962.1771281676647</v>
      </c>
      <c r="M11" s="190">
        <f>SUM($L$3:L11)</f>
        <v>33675.186855771695</v>
      </c>
      <c r="N11" s="190"/>
      <c r="O11" s="185">
        <v>8</v>
      </c>
      <c r="P11" s="189">
        <f t="shared" si="3"/>
        <v>9019.6379848165561</v>
      </c>
      <c r="Q11" s="189">
        <f t="shared" si="4"/>
        <v>11159.059974841257</v>
      </c>
      <c r="R11" s="189">
        <f t="shared" si="5"/>
        <v>13475.186855771695</v>
      </c>
      <c r="S11" s="184"/>
      <c r="T11" s="183">
        <f t="shared" si="0"/>
        <v>0.18717395459443326</v>
      </c>
      <c r="U11" s="188">
        <f t="shared" si="1"/>
        <v>0.21471202734945208</v>
      </c>
      <c r="V11" s="188">
        <f t="shared" si="2"/>
        <v>0.24565233307760717</v>
      </c>
    </row>
    <row r="12" spans="1:22" x14ac:dyDescent="0.25">
      <c r="A12" s="184"/>
      <c r="B12" s="184"/>
      <c r="C12" s="184"/>
      <c r="D12" s="261" t="s">
        <v>149</v>
      </c>
      <c r="E12" s="205">
        <f>'Input-data'!E22</f>
        <v>0</v>
      </c>
      <c r="F12" s="194"/>
      <c r="G12" s="194"/>
      <c r="H12" s="191">
        <f t="shared" si="6"/>
        <v>3818.723021635627</v>
      </c>
      <c r="I12" s="190">
        <f>SUM($H$3:H12)</f>
        <v>33038.361006452185</v>
      </c>
      <c r="J12" s="191">
        <f t="shared" si="7"/>
        <v>4467.2984410326999</v>
      </c>
      <c r="K12" s="190">
        <f>SUM($J$3:J12)</f>
        <v>35826.358415873954</v>
      </c>
      <c r="L12" s="191">
        <f t="shared" si="8"/>
        <v>5210.2859845760486</v>
      </c>
      <c r="M12" s="190">
        <f>SUM($L$3:L12)</f>
        <v>38885.472840347742</v>
      </c>
      <c r="N12" s="190"/>
      <c r="O12" s="185">
        <v>9</v>
      </c>
      <c r="P12" s="189">
        <f t="shared" si="3"/>
        <v>12838.361006452185</v>
      </c>
      <c r="Q12" s="189">
        <f t="shared" si="4"/>
        <v>15626.358415873954</v>
      </c>
      <c r="R12" s="189">
        <f t="shared" si="5"/>
        <v>18685.472840347742</v>
      </c>
      <c r="S12" s="184"/>
      <c r="T12" s="183">
        <f t="shared" si="0"/>
        <v>0.18904569414037758</v>
      </c>
      <c r="U12" s="188">
        <f t="shared" si="1"/>
        <v>0.22115338816993563</v>
      </c>
      <c r="V12" s="188">
        <f t="shared" si="2"/>
        <v>0.25793494973148756</v>
      </c>
    </row>
    <row r="13" spans="1:22" x14ac:dyDescent="0.25">
      <c r="A13" s="184"/>
      <c r="B13" s="184"/>
      <c r="C13" s="184"/>
      <c r="D13" s="261" t="s">
        <v>106</v>
      </c>
      <c r="E13" s="204">
        <f>'Input-data'!B29</f>
        <v>0.01</v>
      </c>
      <c r="F13" s="203">
        <f>'Input-data'!C29</f>
        <v>0.03</v>
      </c>
      <c r="G13" s="202">
        <f>'Input-data'!D29</f>
        <v>0.05</v>
      </c>
      <c r="H13" s="191">
        <f t="shared" si="6"/>
        <v>3856.9102518519835</v>
      </c>
      <c r="I13" s="190">
        <f>SUM($H$3:H13)</f>
        <v>36895.271258304172</v>
      </c>
      <c r="J13" s="191">
        <f t="shared" si="7"/>
        <v>4601.3173942636813</v>
      </c>
      <c r="K13" s="190">
        <f>SUM($J$3:J13)</f>
        <v>40427.675810137633</v>
      </c>
      <c r="L13" s="191">
        <f t="shared" si="8"/>
        <v>5470.8002838048515</v>
      </c>
      <c r="M13" s="190">
        <f>SUM($L$3:L13)</f>
        <v>44356.273124152591</v>
      </c>
      <c r="N13" s="190"/>
      <c r="O13" s="185">
        <v>10</v>
      </c>
      <c r="P13" s="189">
        <f t="shared" si="3"/>
        <v>16695.271258304172</v>
      </c>
      <c r="Q13" s="189">
        <f t="shared" si="4"/>
        <v>20227.675810137633</v>
      </c>
      <c r="R13" s="189">
        <f t="shared" si="5"/>
        <v>24156.273124152591</v>
      </c>
      <c r="S13" s="184"/>
      <c r="T13" s="183">
        <f t="shared" si="0"/>
        <v>0.19093615108178136</v>
      </c>
      <c r="U13" s="188">
        <f t="shared" si="1"/>
        <v>0.22778798981503373</v>
      </c>
      <c r="V13" s="188">
        <f t="shared" si="2"/>
        <v>0.27083169721806194</v>
      </c>
    </row>
    <row r="14" spans="1:22" x14ac:dyDescent="0.25">
      <c r="A14" s="184"/>
      <c r="B14" s="184"/>
      <c r="C14" s="184"/>
      <c r="D14" s="334"/>
      <c r="E14" s="201"/>
      <c r="F14" s="201"/>
      <c r="G14" s="201"/>
      <c r="H14" s="191">
        <f t="shared" si="6"/>
        <v>3895.4793543705032</v>
      </c>
      <c r="I14" s="190">
        <f>SUM($H$3:H14)</f>
        <v>40790.750612674674</v>
      </c>
      <c r="J14" s="191">
        <f t="shared" si="7"/>
        <v>4739.3569160915922</v>
      </c>
      <c r="K14" s="190">
        <f>SUM($J$3:J14)</f>
        <v>45167.032726229227</v>
      </c>
      <c r="L14" s="191">
        <f t="shared" si="8"/>
        <v>5744.3402979950943</v>
      </c>
      <c r="M14" s="190">
        <f>SUM($L$3:L14)</f>
        <v>50100.613422147682</v>
      </c>
      <c r="N14" s="190"/>
      <c r="O14" s="185">
        <v>11</v>
      </c>
      <c r="P14" s="189">
        <f t="shared" si="3"/>
        <v>20590.750612674674</v>
      </c>
      <c r="Q14" s="189">
        <f t="shared" si="4"/>
        <v>24967.032726229227</v>
      </c>
      <c r="R14" s="189">
        <f t="shared" si="5"/>
        <v>29900.613422147682</v>
      </c>
      <c r="S14" s="184"/>
      <c r="T14" s="183">
        <f t="shared" si="0"/>
        <v>0.19284551259259916</v>
      </c>
      <c r="U14" s="188">
        <f t="shared" si="1"/>
        <v>0.23462162950948476</v>
      </c>
      <c r="V14" s="188">
        <f t="shared" si="2"/>
        <v>0.28437328207896506</v>
      </c>
    </row>
    <row r="15" spans="1:22" x14ac:dyDescent="0.25">
      <c r="A15" s="184"/>
      <c r="B15" s="184"/>
      <c r="C15" s="184"/>
      <c r="D15" s="261" t="s">
        <v>150</v>
      </c>
      <c r="E15" s="199">
        <f>F15*G15</f>
        <v>3526.5266417874614</v>
      </c>
      <c r="F15" s="198">
        <f>'Summary_Tech-Design'!C15</f>
        <v>20744.274363455654</v>
      </c>
      <c r="G15" s="200">
        <f>'Input-data'!B31</f>
        <v>0.17</v>
      </c>
      <c r="H15" s="191">
        <f t="shared" si="6"/>
        <v>3934.4341479142081</v>
      </c>
      <c r="I15" s="190">
        <f>SUM($H$3:H15)</f>
        <v>44725.184760588883</v>
      </c>
      <c r="J15" s="191">
        <f t="shared" si="7"/>
        <v>4881.5376235743397</v>
      </c>
      <c r="K15" s="190">
        <f>SUM($J$3:J15)</f>
        <v>50048.570349803565</v>
      </c>
      <c r="L15" s="191">
        <f t="shared" si="8"/>
        <v>6031.557312894849</v>
      </c>
      <c r="M15" s="190">
        <f>SUM($L$3:L15)</f>
        <v>56132.170735042528</v>
      </c>
      <c r="N15" s="190"/>
      <c r="O15" s="185">
        <v>12</v>
      </c>
      <c r="P15" s="189">
        <f t="shared" si="3"/>
        <v>24525.184760588883</v>
      </c>
      <c r="Q15" s="189">
        <f t="shared" si="4"/>
        <v>29848.570349803565</v>
      </c>
      <c r="R15" s="189">
        <f t="shared" si="5"/>
        <v>35932.170735042528</v>
      </c>
      <c r="S15" s="184"/>
      <c r="T15" s="183">
        <f t="shared" si="0"/>
        <v>0.19477396771852515</v>
      </c>
      <c r="U15" s="188">
        <f t="shared" si="1"/>
        <v>0.24166027839476928</v>
      </c>
      <c r="V15" s="188">
        <f t="shared" si="2"/>
        <v>0.29859194618291329</v>
      </c>
    </row>
    <row r="16" spans="1:22" x14ac:dyDescent="0.25">
      <c r="A16" s="184"/>
      <c r="B16" s="184"/>
      <c r="C16" s="184"/>
      <c r="D16" s="261" t="s">
        <v>151</v>
      </c>
      <c r="E16" s="199">
        <f>F16*G15</f>
        <v>6775.6244850498351</v>
      </c>
      <c r="F16" s="198">
        <f>'Summary_Tech-Design'!C8</f>
        <v>39856.614617940206</v>
      </c>
      <c r="G16" s="197"/>
      <c r="H16" s="191">
        <f t="shared" si="6"/>
        <v>3973.7784893933504</v>
      </c>
      <c r="I16" s="190">
        <f>SUM($H$3:H16)</f>
        <v>48698.963249982233</v>
      </c>
      <c r="J16" s="191">
        <f t="shared" si="7"/>
        <v>5027.9837522815697</v>
      </c>
      <c r="K16" s="190">
        <f>SUM($J$3:J16)</f>
        <v>55076.554102085138</v>
      </c>
      <c r="L16" s="191">
        <f t="shared" si="8"/>
        <v>6333.1351785395918</v>
      </c>
      <c r="M16" s="190">
        <f>SUM($L$3:L16)</f>
        <v>62465.305913582117</v>
      </c>
      <c r="N16" s="190"/>
      <c r="O16" s="185">
        <v>13</v>
      </c>
      <c r="P16" s="189">
        <f t="shared" si="3"/>
        <v>28498.963249982233</v>
      </c>
      <c r="Q16" s="189">
        <f t="shared" si="4"/>
        <v>34876.554102085138</v>
      </c>
      <c r="R16" s="189">
        <f t="shared" si="5"/>
        <v>42265.305913582117</v>
      </c>
      <c r="S16" s="184"/>
      <c r="T16" s="183">
        <f t="shared" si="0"/>
        <v>0.1967217073957104</v>
      </c>
      <c r="U16" s="188">
        <f t="shared" si="1"/>
        <v>0.24891008674661236</v>
      </c>
      <c r="V16" s="188">
        <f t="shared" si="2"/>
        <v>0.31352154349205902</v>
      </c>
    </row>
    <row r="17" spans="1:22" x14ac:dyDescent="0.25">
      <c r="A17" s="184"/>
      <c r="B17" s="184"/>
      <c r="C17" s="184"/>
      <c r="D17" s="261" t="s">
        <v>109</v>
      </c>
      <c r="E17" s="196">
        <f>$E$15/$E$16</f>
        <v>0.520472563018894</v>
      </c>
      <c r="F17" s="195"/>
      <c r="G17" s="184"/>
      <c r="H17" s="191">
        <f t="shared" si="6"/>
        <v>4013.516274287284</v>
      </c>
      <c r="I17" s="190">
        <f>SUM($H$3:H17)</f>
        <v>52712.479524269518</v>
      </c>
      <c r="J17" s="191">
        <f t="shared" si="7"/>
        <v>5178.823264850017</v>
      </c>
      <c r="K17" s="190">
        <f>SUM($J$3:J17)</f>
        <v>60255.377366935158</v>
      </c>
      <c r="L17" s="191">
        <f t="shared" si="8"/>
        <v>6649.7919374665717</v>
      </c>
      <c r="M17" s="190">
        <f>SUM($L$3:L17)</f>
        <v>69115.097851048689</v>
      </c>
      <c r="N17" s="190"/>
      <c r="O17" s="185">
        <v>14</v>
      </c>
      <c r="P17" s="189">
        <f t="shared" si="3"/>
        <v>32512.479524269518</v>
      </c>
      <c r="Q17" s="189">
        <f t="shared" si="4"/>
        <v>40055.377366935158</v>
      </c>
      <c r="R17" s="189">
        <f t="shared" si="5"/>
        <v>48915.097851048689</v>
      </c>
      <c r="S17" s="184"/>
      <c r="T17" s="183">
        <f t="shared" si="0"/>
        <v>0.19868892446966752</v>
      </c>
      <c r="U17" s="188">
        <f t="shared" si="1"/>
        <v>0.25637738934901072</v>
      </c>
      <c r="V17" s="188">
        <f t="shared" si="2"/>
        <v>0.32919762066666197</v>
      </c>
    </row>
    <row r="18" spans="1:22" x14ac:dyDescent="0.25">
      <c r="A18" s="184"/>
      <c r="B18" s="184"/>
      <c r="C18" s="184"/>
      <c r="D18" s="334"/>
      <c r="E18" s="194"/>
      <c r="F18" s="194"/>
      <c r="G18" s="194"/>
      <c r="H18" s="191">
        <f t="shared" si="6"/>
        <v>4053.651437030157</v>
      </c>
      <c r="I18" s="190">
        <f>SUM($H$3:H18)</f>
        <v>56766.130961299677</v>
      </c>
      <c r="J18" s="191">
        <f t="shared" si="7"/>
        <v>5334.1879627955177</v>
      </c>
      <c r="K18" s="190">
        <f>SUM($J$3:J18)</f>
        <v>65589.565329730671</v>
      </c>
      <c r="L18" s="191">
        <f t="shared" si="8"/>
        <v>6982.2815343399006</v>
      </c>
      <c r="M18" s="190">
        <f>SUM($L$3:L18)</f>
        <v>76097.379385388587</v>
      </c>
      <c r="N18" s="190"/>
      <c r="O18" s="185">
        <v>15</v>
      </c>
      <c r="P18" s="189">
        <f t="shared" si="3"/>
        <v>36566.130961299677</v>
      </c>
      <c r="Q18" s="189">
        <f t="shared" si="4"/>
        <v>45389.565329730671</v>
      </c>
      <c r="R18" s="189">
        <f t="shared" si="5"/>
        <v>55897.379385388587</v>
      </c>
      <c r="S18" s="184"/>
      <c r="T18" s="183">
        <f t="shared" si="0"/>
        <v>0.20067581371436422</v>
      </c>
      <c r="U18" s="188">
        <f t="shared" si="1"/>
        <v>0.2640687110294811</v>
      </c>
      <c r="V18" s="188">
        <f t="shared" si="2"/>
        <v>0.3456575016999951</v>
      </c>
    </row>
    <row r="19" spans="1:22" x14ac:dyDescent="0.25">
      <c r="A19" s="184"/>
      <c r="B19" s="184"/>
      <c r="C19" s="184"/>
      <c r="D19" s="261" t="s">
        <v>152</v>
      </c>
      <c r="E19" s="193">
        <f>AVERAGE($T$4:$T$18)</f>
        <v>0.18734696686897581</v>
      </c>
      <c r="F19" s="193">
        <f>AVERAGE($U$4:$U$18)</f>
        <v>0.21646721230934221</v>
      </c>
      <c r="G19" s="193">
        <f>AVERAGE($V$4:$V$18)</f>
        <v>0.25114646661844425</v>
      </c>
      <c r="H19" s="191">
        <f t="shared" si="6"/>
        <v>4094.1879514004586</v>
      </c>
      <c r="I19" s="190">
        <f>SUM($H$3:H19)</f>
        <v>60860.318912700139</v>
      </c>
      <c r="J19" s="191">
        <f t="shared" si="7"/>
        <v>5494.2136016793838</v>
      </c>
      <c r="K19" s="190">
        <f>SUM($J$3:J19)</f>
        <v>71083.778931410052</v>
      </c>
      <c r="L19" s="191">
        <f t="shared" si="8"/>
        <v>7331.3956110568961</v>
      </c>
      <c r="M19" s="190">
        <f>SUM($L$3:L19)</f>
        <v>83428.774996445485</v>
      </c>
      <c r="N19" s="190"/>
      <c r="O19" s="185">
        <v>16</v>
      </c>
      <c r="P19" s="189">
        <f t="shared" si="3"/>
        <v>40660.318912700139</v>
      </c>
      <c r="Q19" s="189">
        <f t="shared" si="4"/>
        <v>50883.778931410052</v>
      </c>
      <c r="R19" s="189">
        <f t="shared" si="5"/>
        <v>63228.774996445485</v>
      </c>
      <c r="S19" s="184"/>
      <c r="T19" s="183">
        <f t="shared" si="0"/>
        <v>0.20268257185150784</v>
      </c>
      <c r="U19" s="188">
        <f t="shared" si="1"/>
        <v>0.27199077236036556</v>
      </c>
      <c r="V19" s="188">
        <f t="shared" si="2"/>
        <v>0.36294037678499486</v>
      </c>
    </row>
    <row r="20" spans="1:22" x14ac:dyDescent="0.25">
      <c r="A20" s="184"/>
      <c r="B20" s="184"/>
      <c r="C20" s="184"/>
      <c r="D20" s="261" t="s">
        <v>153</v>
      </c>
      <c r="E20" s="193">
        <f>AVERAGE($T$4:$T$23)</f>
        <v>0.1922044658744432</v>
      </c>
      <c r="F20" s="193">
        <f>AVERAGE($U$4:$U$23)</f>
        <v>0.23455220670840543</v>
      </c>
      <c r="G20" s="193">
        <f>AVERAGE($V$4:$V$23)</f>
        <v>0.28863358435633024</v>
      </c>
      <c r="H20" s="191">
        <f t="shared" si="6"/>
        <v>4135.1298309144631</v>
      </c>
      <c r="I20" s="190">
        <f>SUM($H$3:H20)</f>
        <v>64995.448743614601</v>
      </c>
      <c r="J20" s="191">
        <f t="shared" si="7"/>
        <v>5659.0400097297652</v>
      </c>
      <c r="K20" s="190">
        <f>SUM($J$3:J20)</f>
        <v>76742.81894113982</v>
      </c>
      <c r="L20" s="191">
        <f t="shared" si="8"/>
        <v>7697.9653916097413</v>
      </c>
      <c r="M20" s="190">
        <f>SUM($L$3:L20)</f>
        <v>91126.74038805523</v>
      </c>
      <c r="N20" s="190"/>
      <c r="O20" s="185">
        <v>17</v>
      </c>
      <c r="P20" s="189">
        <f t="shared" si="3"/>
        <v>44795.448743614601</v>
      </c>
      <c r="Q20" s="189">
        <f t="shared" si="4"/>
        <v>56542.81894113982</v>
      </c>
      <c r="R20" s="189">
        <f t="shared" si="5"/>
        <v>70926.74038805523</v>
      </c>
      <c r="S20" s="184"/>
      <c r="T20" s="183">
        <f t="shared" si="0"/>
        <v>0.20470939757002293</v>
      </c>
      <c r="U20" s="188">
        <f t="shared" si="1"/>
        <v>0.28015049553117649</v>
      </c>
      <c r="V20" s="188">
        <f t="shared" si="2"/>
        <v>0.3810873956242446</v>
      </c>
    </row>
    <row r="21" spans="1:22" x14ac:dyDescent="0.25">
      <c r="A21" s="184"/>
      <c r="B21" s="184"/>
      <c r="C21" s="184"/>
      <c r="D21" s="184"/>
      <c r="E21" s="192"/>
      <c r="F21" s="192"/>
      <c r="G21" s="192"/>
      <c r="H21" s="191">
        <f t="shared" si="6"/>
        <v>4176.4811292236081</v>
      </c>
      <c r="I21" s="190">
        <f>SUM($H$3:H21)</f>
        <v>69171.929872838213</v>
      </c>
      <c r="J21" s="191">
        <f t="shared" si="7"/>
        <v>5828.8112100216586</v>
      </c>
      <c r="K21" s="190">
        <f>SUM($J$3:J21)</f>
        <v>82571.630151161473</v>
      </c>
      <c r="L21" s="191">
        <f t="shared" si="8"/>
        <v>8082.8636611902284</v>
      </c>
      <c r="M21" s="190">
        <f>SUM($L$3:L21)</f>
        <v>99209.604049245463</v>
      </c>
      <c r="N21" s="190"/>
      <c r="O21" s="185">
        <v>18</v>
      </c>
      <c r="P21" s="189">
        <f t="shared" si="3"/>
        <v>48971.929872838213</v>
      </c>
      <c r="Q21" s="189">
        <f t="shared" si="4"/>
        <v>62371.630151161473</v>
      </c>
      <c r="R21" s="189">
        <f t="shared" si="5"/>
        <v>79009.604049245463</v>
      </c>
      <c r="S21" s="184"/>
      <c r="T21" s="183">
        <f t="shared" si="0"/>
        <v>0.20675649154572318</v>
      </c>
      <c r="U21" s="188">
        <f t="shared" si="1"/>
        <v>0.28855501039711179</v>
      </c>
      <c r="V21" s="188">
        <f t="shared" si="2"/>
        <v>0.40014176540545687</v>
      </c>
    </row>
    <row r="22" spans="1:22" x14ac:dyDescent="0.25">
      <c r="A22" s="184"/>
      <c r="B22" s="184"/>
      <c r="C22" s="184"/>
      <c r="D22" s="184"/>
      <c r="E22" s="192"/>
      <c r="F22" s="192"/>
      <c r="G22" s="192"/>
      <c r="H22" s="191">
        <f t="shared" si="6"/>
        <v>4218.2459405158443</v>
      </c>
      <c r="I22" s="190">
        <f>SUM($H$3:H22)</f>
        <v>73390.175813354057</v>
      </c>
      <c r="J22" s="191">
        <f t="shared" si="7"/>
        <v>6003.675546322308</v>
      </c>
      <c r="K22" s="190">
        <f>SUM($J$3:J22)</f>
        <v>88575.305697483782</v>
      </c>
      <c r="L22" s="191">
        <f t="shared" si="8"/>
        <v>8487.0068442497395</v>
      </c>
      <c r="M22" s="190">
        <f>SUM($L$3:L22)</f>
        <v>107696.61089349521</v>
      </c>
      <c r="N22" s="190"/>
      <c r="O22" s="185">
        <v>19</v>
      </c>
      <c r="P22" s="189">
        <f t="shared" si="3"/>
        <v>53190.175813354057</v>
      </c>
      <c r="Q22" s="189">
        <f t="shared" si="4"/>
        <v>68375.305697483782</v>
      </c>
      <c r="R22" s="189">
        <f t="shared" si="5"/>
        <v>87496.610893495206</v>
      </c>
      <c r="S22" s="184"/>
      <c r="T22" s="183">
        <f t="shared" si="0"/>
        <v>0.20882405646118041</v>
      </c>
      <c r="U22" s="188">
        <f t="shared" si="1"/>
        <v>0.29721166070902516</v>
      </c>
      <c r="V22" s="188">
        <f t="shared" si="2"/>
        <v>0.42014885367572968</v>
      </c>
    </row>
    <row r="23" spans="1:22" x14ac:dyDescent="0.25">
      <c r="A23" s="184"/>
      <c r="B23" s="184"/>
      <c r="C23" s="184"/>
      <c r="D23" s="184"/>
      <c r="E23" s="192"/>
      <c r="F23" s="192"/>
      <c r="G23" s="192"/>
      <c r="H23" s="191">
        <f t="shared" si="6"/>
        <v>4260.4283999210029</v>
      </c>
      <c r="I23" s="190">
        <f>SUM($H$3:H23)</f>
        <v>77650.604213275059</v>
      </c>
      <c r="J23" s="191">
        <f t="shared" si="7"/>
        <v>6183.7858127119771</v>
      </c>
      <c r="K23" s="190">
        <f>SUM($J$3:J23)</f>
        <v>94759.091510195765</v>
      </c>
      <c r="L23" s="191">
        <f t="shared" si="8"/>
        <v>8911.3571864622263</v>
      </c>
      <c r="M23" s="190">
        <f>SUM($L$3:L23)</f>
        <v>116607.96807995743</v>
      </c>
      <c r="N23" s="190"/>
      <c r="O23" s="185">
        <v>20</v>
      </c>
      <c r="P23" s="189">
        <f t="shared" si="3"/>
        <v>57450.604213275059</v>
      </c>
      <c r="Q23" s="189">
        <f t="shared" si="4"/>
        <v>74559.091510195765</v>
      </c>
      <c r="R23" s="189">
        <f t="shared" si="5"/>
        <v>96407.968079957427</v>
      </c>
      <c r="S23" s="184"/>
      <c r="T23" s="183">
        <f t="shared" si="0"/>
        <v>0.21091229702579223</v>
      </c>
      <c r="U23" s="188">
        <f t="shared" si="1"/>
        <v>0.30612801053029587</v>
      </c>
      <c r="V23" s="188">
        <f t="shared" si="2"/>
        <v>0.44115629635951614</v>
      </c>
    </row>
    <row r="24" spans="1:22" x14ac:dyDescent="0.25">
      <c r="A24" s="184"/>
      <c r="B24" s="184"/>
      <c r="C24" s="184"/>
      <c r="D24" s="184"/>
      <c r="F24" s="335" t="s">
        <v>154</v>
      </c>
      <c r="G24" s="187">
        <f>E8/E15</f>
        <v>5.7280157083291998</v>
      </c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4"/>
      <c r="T24" s="183"/>
      <c r="U24" s="183"/>
      <c r="V24" s="183"/>
    </row>
    <row r="25" spans="1:22" x14ac:dyDescent="0.25">
      <c r="A25" s="184"/>
      <c r="B25" s="184"/>
      <c r="C25" s="184"/>
      <c r="D25" s="184"/>
      <c r="F25" s="335" t="s">
        <v>155</v>
      </c>
      <c r="G25" s="186">
        <f>E15/E8</f>
        <v>0.17458052682116146</v>
      </c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4"/>
      <c r="T25" s="183"/>
      <c r="U25" s="183"/>
      <c r="V25" s="183"/>
    </row>
    <row r="26" spans="1:22" x14ac:dyDescent="0.25">
      <c r="A26" s="184"/>
      <c r="B26" s="184"/>
      <c r="C26" s="184"/>
      <c r="D26" s="184"/>
      <c r="E26" s="184"/>
      <c r="F26" s="184"/>
      <c r="G26" s="184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4"/>
      <c r="T26" s="183"/>
      <c r="U26" s="183"/>
      <c r="V26" s="183"/>
    </row>
    <row r="27" spans="1:22" x14ac:dyDescent="0.25">
      <c r="A27" s="184"/>
      <c r="B27" s="184"/>
      <c r="C27" s="184"/>
      <c r="D27" s="184"/>
      <c r="E27" s="184"/>
      <c r="F27" s="184"/>
      <c r="G27" s="184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4"/>
      <c r="T27" s="183"/>
      <c r="U27" s="183"/>
      <c r="V27" s="183"/>
    </row>
    <row r="28" spans="1:22" x14ac:dyDescent="0.25">
      <c r="A28" s="184"/>
      <c r="B28" s="184"/>
      <c r="C28" s="184"/>
      <c r="D28" s="184"/>
      <c r="E28" s="184"/>
      <c r="F28" s="184"/>
      <c r="G28" s="184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4"/>
      <c r="T28" s="183"/>
      <c r="U28" s="183"/>
      <c r="V28" s="183"/>
    </row>
    <row r="29" spans="1:22" x14ac:dyDescent="0.25">
      <c r="A29" s="184"/>
      <c r="D29" s="184"/>
      <c r="E29" s="184"/>
      <c r="F29" s="184"/>
      <c r="G29" s="184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4"/>
      <c r="T29" s="183"/>
      <c r="U29" s="183"/>
      <c r="V29" s="183"/>
    </row>
    <row r="30" spans="1:22" x14ac:dyDescent="0.25">
      <c r="A30" s="184"/>
      <c r="D30" s="184"/>
      <c r="E30" s="184"/>
      <c r="F30" s="184"/>
      <c r="G30" s="184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4"/>
      <c r="T30" s="183"/>
      <c r="U30" s="183"/>
      <c r="V30" s="183"/>
    </row>
    <row r="31" spans="1:22" ht="13.8" x14ac:dyDescent="0.25">
      <c r="T31" s="182"/>
      <c r="U31" s="182"/>
      <c r="V31" s="182"/>
    </row>
    <row r="32" spans="1:22" ht="13.8" x14ac:dyDescent="0.25">
      <c r="T32" s="182"/>
      <c r="U32" s="182"/>
      <c r="V32" s="182"/>
    </row>
    <row r="33" spans="20:22" ht="13.8" x14ac:dyDescent="0.25">
      <c r="T33" s="182"/>
      <c r="U33" s="182"/>
      <c r="V33" s="182"/>
    </row>
  </sheetData>
  <sheetProtection sheet="1" objects="1" scenarios="1" selectLockedCells="1" selectUnlockedCells="1"/>
  <mergeCells count="4">
    <mergeCell ref="T2:V2"/>
    <mergeCell ref="H1:I1"/>
    <mergeCell ref="J1:K1"/>
    <mergeCell ref="L1:M1"/>
  </mergeCells>
  <pageMargins left="0.35433070866141736" right="0.31496062992125984" top="0.6692913385826772" bottom="0.51181102362204722" header="0.51181102362204722" footer="0.51181102362204722"/>
  <pageSetup paperSize="9" scale="105" orientation="landscape" horizontalDpi="4294967293" r:id="rId1"/>
  <headerFooter alignWithMargins="0">
    <oddFooter xml:space="preserve">&amp;LFengtech ©&amp;R&amp;T
&amp;D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</vt:i4>
      </vt:variant>
    </vt:vector>
  </HeadingPairs>
  <TitlesOfParts>
    <vt:vector size="9" baseType="lpstr">
      <vt:lpstr>Input-data</vt:lpstr>
      <vt:lpstr>Results-Tech</vt:lpstr>
      <vt:lpstr>Calcul-Tech</vt:lpstr>
      <vt:lpstr>Results-auto-Financement</vt:lpstr>
      <vt:lpstr>Calcul -financement</vt:lpstr>
      <vt:lpstr>Results-ROIC</vt:lpstr>
      <vt:lpstr>Summary_Tech-Design</vt:lpstr>
      <vt:lpstr>calcul-ROIC</vt:lpstr>
      <vt:lpstr>'calcul-ROIC'!Zone_d_impression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Fengtech</dc:creator>
  <cp:lastModifiedBy>Axular AROSTEGUI</cp:lastModifiedBy>
  <cp:lastPrinted>2019-02-21T08:59:57Z</cp:lastPrinted>
  <dcterms:created xsi:type="dcterms:W3CDTF">2017-01-16T11:15:03Z</dcterms:created>
  <dcterms:modified xsi:type="dcterms:W3CDTF">2021-12-03T16:27:35Z</dcterms:modified>
</cp:coreProperties>
</file>